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üller\Documents\Noteninflation\"/>
    </mc:Choice>
  </mc:AlternateContent>
  <bookViews>
    <workbookView xWindow="0" yWindow="0" windowWidth="23040" windowHeight="9192" activeTab="1"/>
  </bookViews>
  <sheets>
    <sheet name="A" sheetId="12" r:id="rId1"/>
    <sheet name="B" sheetId="13" r:id="rId2"/>
  </sheets>
  <definedNames>
    <definedName name="Excel_BuiltIn_Print_Titles_1">0</definedName>
  </definedNames>
  <calcPr calcId="162913"/>
</workbook>
</file>

<file path=xl/calcChain.xml><?xml version="1.0" encoding="utf-8"?>
<calcChain xmlns="http://schemas.openxmlformats.org/spreadsheetml/2006/main">
  <c r="T80" i="13" l="1"/>
  <c r="T81" i="13" s="1"/>
  <c r="T82" i="13" s="1"/>
  <c r="T83" i="13" s="1"/>
  <c r="T84" i="13" s="1"/>
  <c r="T85" i="13" s="1"/>
  <c r="K81" i="13"/>
  <c r="K82" i="13" s="1"/>
  <c r="K83" i="13" s="1"/>
  <c r="K84" i="13" s="1"/>
  <c r="K80" i="13"/>
  <c r="B81" i="13"/>
  <c r="B82" i="13" s="1"/>
  <c r="B83" i="13" s="1"/>
  <c r="B84" i="13" s="1"/>
  <c r="Y83" i="13"/>
  <c r="X83" i="13"/>
  <c r="Z83" i="13" s="1"/>
  <c r="AA83" i="13" s="1"/>
  <c r="W83" i="13"/>
  <c r="V83" i="13"/>
  <c r="U83" i="13"/>
  <c r="P83" i="13"/>
  <c r="O83" i="13"/>
  <c r="Q83" i="13" s="1"/>
  <c r="R83" i="13" s="1"/>
  <c r="N83" i="13"/>
  <c r="M83" i="13"/>
  <c r="L83" i="13"/>
  <c r="G83" i="13"/>
  <c r="F83" i="13"/>
  <c r="H83" i="13" s="1"/>
  <c r="I83" i="13" s="1"/>
  <c r="E83" i="13"/>
  <c r="D83" i="13"/>
  <c r="C83" i="13"/>
  <c r="Y82" i="13"/>
  <c r="X82" i="13"/>
  <c r="Z82" i="13" s="1"/>
  <c r="AA82" i="13" s="1"/>
  <c r="W82" i="13"/>
  <c r="V82" i="13"/>
  <c r="U82" i="13"/>
  <c r="P82" i="13"/>
  <c r="O82" i="13"/>
  <c r="Q82" i="13" s="1"/>
  <c r="R82" i="13" s="1"/>
  <c r="N82" i="13"/>
  <c r="M82" i="13"/>
  <c r="L82" i="13"/>
  <c r="G82" i="13"/>
  <c r="F82" i="13"/>
  <c r="H82" i="13" s="1"/>
  <c r="I82" i="13" s="1"/>
  <c r="E82" i="13"/>
  <c r="D82" i="13"/>
  <c r="C82" i="13"/>
  <c r="Y81" i="13"/>
  <c r="X81" i="13"/>
  <c r="Z81" i="13" s="1"/>
  <c r="AA81" i="13" s="1"/>
  <c r="W81" i="13"/>
  <c r="V81" i="13"/>
  <c r="U81" i="13"/>
  <c r="P81" i="13"/>
  <c r="O81" i="13"/>
  <c r="Q81" i="13" s="1"/>
  <c r="R81" i="13" s="1"/>
  <c r="N81" i="13"/>
  <c r="M81" i="13"/>
  <c r="L81" i="13"/>
  <c r="G81" i="13"/>
  <c r="F81" i="13"/>
  <c r="H81" i="13" s="1"/>
  <c r="I81" i="13" s="1"/>
  <c r="E81" i="13"/>
  <c r="D81" i="13"/>
  <c r="C81" i="13"/>
  <c r="Y80" i="13"/>
  <c r="X80" i="13"/>
  <c r="Z80" i="13" s="1"/>
  <c r="AA80" i="13" s="1"/>
  <c r="W80" i="13"/>
  <c r="V80" i="13"/>
  <c r="U80" i="13"/>
  <c r="P80" i="13"/>
  <c r="O80" i="13"/>
  <c r="Q80" i="13" s="1"/>
  <c r="R80" i="13" s="1"/>
  <c r="N80" i="13"/>
  <c r="M80" i="13"/>
  <c r="L80" i="13"/>
  <c r="G80" i="13"/>
  <c r="F80" i="13"/>
  <c r="H80" i="13" s="1"/>
  <c r="I80" i="13" s="1"/>
  <c r="E80" i="13"/>
  <c r="D80" i="13"/>
  <c r="C80" i="13"/>
  <c r="W7" i="13"/>
  <c r="V7" i="13"/>
  <c r="U7" i="13"/>
  <c r="N7" i="13"/>
  <c r="M7" i="13"/>
  <c r="L7" i="13"/>
  <c r="E7" i="13"/>
  <c r="D7" i="13"/>
  <c r="C7" i="13"/>
  <c r="W6" i="13"/>
  <c r="V6" i="13"/>
  <c r="U6" i="13"/>
  <c r="N6" i="13"/>
  <c r="M6" i="13"/>
  <c r="L6" i="13"/>
  <c r="E6" i="13"/>
  <c r="D6" i="13"/>
  <c r="C6" i="13"/>
  <c r="W5" i="13"/>
  <c r="V5" i="13"/>
  <c r="U5" i="13"/>
  <c r="N5" i="13"/>
  <c r="M5" i="13"/>
  <c r="L5" i="13"/>
  <c r="E5" i="13"/>
  <c r="D5" i="13"/>
  <c r="C5" i="13"/>
  <c r="W4" i="13"/>
  <c r="V4" i="13"/>
  <c r="U4" i="13"/>
  <c r="N4" i="13"/>
  <c r="M4" i="13"/>
  <c r="L4" i="13"/>
  <c r="E4" i="13"/>
  <c r="D4" i="13"/>
  <c r="C4" i="13"/>
  <c r="W3" i="13"/>
  <c r="V3" i="13"/>
  <c r="U3" i="13"/>
  <c r="T3" i="13"/>
  <c r="T4" i="13" s="1"/>
  <c r="T5" i="13" s="1"/>
  <c r="T6" i="13" s="1"/>
  <c r="T7" i="13" s="1"/>
  <c r="N3" i="13"/>
  <c r="M3" i="13"/>
  <c r="L3" i="13"/>
  <c r="K3" i="13"/>
  <c r="K4" i="13" s="1"/>
  <c r="K5" i="13" s="1"/>
  <c r="K6" i="13" s="1"/>
  <c r="K7" i="13" s="1"/>
  <c r="E3" i="13"/>
  <c r="D3" i="13"/>
  <c r="C3" i="13"/>
  <c r="B3" i="13"/>
  <c r="B4" i="13" s="1"/>
  <c r="B5" i="13" s="1"/>
  <c r="B6" i="13" s="1"/>
  <c r="B7" i="13" s="1"/>
  <c r="E9" i="13"/>
  <c r="D9" i="13"/>
  <c r="C9" i="13"/>
  <c r="E8" i="13"/>
  <c r="D8" i="13"/>
  <c r="C8" i="13"/>
  <c r="O71" i="12"/>
  <c r="O70" i="12"/>
  <c r="O69" i="12"/>
  <c r="O68" i="12"/>
  <c r="O67" i="12"/>
  <c r="O66" i="12"/>
  <c r="O65" i="12"/>
  <c r="O64" i="12"/>
  <c r="O63" i="12"/>
  <c r="O62" i="12"/>
  <c r="AD19" i="12"/>
  <c r="AC19" i="12"/>
  <c r="AB19" i="12"/>
  <c r="AA19" i="12"/>
  <c r="Z19" i="12"/>
  <c r="AD18" i="12"/>
  <c r="AC18" i="12"/>
  <c r="AB18" i="12"/>
  <c r="AA18" i="12"/>
  <c r="Z18" i="12"/>
  <c r="AD17" i="12"/>
  <c r="AC17" i="12"/>
  <c r="AB17" i="12"/>
  <c r="AA17" i="12"/>
  <c r="Z17" i="12"/>
  <c r="AD16" i="12"/>
  <c r="AC16" i="12"/>
  <c r="AB16" i="12"/>
  <c r="AA16" i="12"/>
  <c r="Z16" i="12"/>
  <c r="AD15" i="12"/>
  <c r="AC15" i="12"/>
  <c r="AB15" i="12"/>
  <c r="AA15" i="12"/>
  <c r="Z15" i="12"/>
  <c r="AD14" i="12"/>
  <c r="AC14" i="12"/>
  <c r="AB14" i="12"/>
  <c r="AA14" i="12"/>
  <c r="Z14" i="12"/>
  <c r="AD13" i="12"/>
  <c r="AC13" i="12"/>
  <c r="AB13" i="12"/>
  <c r="AA13" i="12"/>
  <c r="Z13" i="12"/>
  <c r="AD12" i="12"/>
  <c r="AC12" i="12"/>
  <c r="AB12" i="12"/>
  <c r="AA12" i="12"/>
  <c r="Z12" i="12"/>
  <c r="AD11" i="12"/>
  <c r="AC11" i="12"/>
  <c r="AB11" i="12"/>
  <c r="AA11" i="12"/>
  <c r="Z11" i="12"/>
  <c r="AI18" i="12"/>
  <c r="AH18" i="12"/>
  <c r="AG18" i="12"/>
  <c r="AF18" i="12"/>
  <c r="AI17" i="12"/>
  <c r="AG17" i="12"/>
  <c r="AF17" i="12"/>
  <c r="AI16" i="12"/>
  <c r="AG16" i="12"/>
  <c r="AF16" i="12"/>
  <c r="AI15" i="12"/>
  <c r="AG15" i="12"/>
  <c r="AF15" i="12"/>
  <c r="AI14" i="12"/>
  <c r="AG14" i="12"/>
  <c r="AF14" i="12"/>
  <c r="AI13" i="12"/>
  <c r="AG13" i="12"/>
  <c r="AF13" i="12"/>
  <c r="AI12" i="12"/>
  <c r="AG12" i="12"/>
  <c r="AF12" i="12"/>
  <c r="AI11" i="12"/>
  <c r="AG11" i="12"/>
  <c r="AF11" i="12"/>
  <c r="AJ246" i="12"/>
  <c r="AJ253" i="12" s="1"/>
  <c r="AJ260" i="12" s="1"/>
  <c r="AJ267" i="12" s="1"/>
  <c r="AJ274" i="12" s="1"/>
  <c r="AJ281" i="12" s="1"/>
  <c r="AJ288" i="12" s="1"/>
  <c r="AJ295" i="12" s="1"/>
  <c r="AJ148" i="12"/>
  <c r="AJ155" i="12" s="1"/>
  <c r="AJ162" i="12" s="1"/>
  <c r="AJ169" i="12" s="1"/>
  <c r="AJ176" i="12" s="1"/>
  <c r="AJ183" i="12" s="1"/>
  <c r="AJ190" i="12" s="1"/>
  <c r="AJ197" i="12" s="1"/>
  <c r="AJ204" i="12" s="1"/>
  <c r="AJ211" i="12" s="1"/>
  <c r="AJ218" i="12" s="1"/>
  <c r="AJ225" i="12" s="1"/>
  <c r="AJ232" i="12" s="1"/>
  <c r="AJ239" i="12" s="1"/>
  <c r="AJ141" i="12"/>
  <c r="AJ134" i="12"/>
  <c r="AJ127" i="12"/>
  <c r="AJ120" i="12"/>
  <c r="AJ113" i="12"/>
  <c r="AJ106" i="12"/>
  <c r="AJ99" i="12"/>
  <c r="AJ92" i="12"/>
  <c r="AJ85" i="12"/>
  <c r="AJ78" i="12"/>
  <c r="AJ71" i="12"/>
  <c r="AJ64" i="12"/>
  <c r="AJ57" i="12"/>
  <c r="AJ50" i="12"/>
  <c r="V20" i="12" l="1"/>
  <c r="V18" i="12"/>
  <c r="V17" i="12"/>
  <c r="V16" i="12"/>
  <c r="X5" i="12"/>
  <c r="W5" i="12"/>
  <c r="J250" i="12"/>
  <c r="J59" i="12"/>
  <c r="J56" i="12"/>
  <c r="J55" i="12"/>
  <c r="J52" i="12"/>
  <c r="J49" i="12"/>
  <c r="J48" i="12"/>
  <c r="O3" i="12" l="1"/>
  <c r="AZ9" i="12" l="1"/>
  <c r="AZ8" i="12" s="1"/>
  <c r="AZ17" i="12" s="1"/>
  <c r="BA5" i="12" l="1"/>
  <c r="BF13" i="12"/>
  <c r="BE13" i="12"/>
  <c r="BI13" i="12" s="1"/>
  <c r="BF26" i="12"/>
  <c r="BE26" i="12"/>
  <c r="BD26" i="12"/>
  <c r="BG25" i="12"/>
  <c r="BG14" i="12"/>
  <c r="BG12" i="12"/>
  <c r="BC18" i="12"/>
  <c r="BC9" i="12"/>
  <c r="BC22" i="12" s="1"/>
  <c r="BC26" i="12" s="1"/>
  <c r="BC14" i="12"/>
  <c r="BJ14" i="12" s="1"/>
  <c r="AZ6" i="12"/>
  <c r="AZ10" i="12" s="1"/>
  <c r="AZ11" i="12" s="1"/>
  <c r="AZ12" i="12" s="1"/>
  <c r="BF5" i="12" l="1"/>
  <c r="BE5" i="12"/>
  <c r="BG5" i="12"/>
  <c r="BG13" i="12"/>
  <c r="BG22" i="12"/>
  <c r="BC10" i="12" s="1"/>
  <c r="BF21" i="12"/>
  <c r="BG26" i="12"/>
  <c r="AZ13" i="12"/>
  <c r="T56" i="13"/>
  <c r="T57" i="13" s="1"/>
  <c r="T58" i="13" s="1"/>
  <c r="T59" i="13" s="1"/>
  <c r="T60" i="13" s="1"/>
  <c r="T61" i="13" s="1"/>
  <c r="T62" i="13" s="1"/>
  <c r="T63" i="13" s="1"/>
  <c r="T64" i="13" s="1"/>
  <c r="T65" i="13" s="1"/>
  <c r="T66" i="13" s="1"/>
  <c r="T67" i="13" s="1"/>
  <c r="T68" i="13" s="1"/>
  <c r="T69" i="13" s="1"/>
  <c r="T70" i="13" s="1"/>
  <c r="K56" i="13"/>
  <c r="K57" i="13" s="1"/>
  <c r="K58" i="13" s="1"/>
  <c r="K59" i="13" s="1"/>
  <c r="K60" i="13" s="1"/>
  <c r="K61" i="13" s="1"/>
  <c r="K62" i="13" s="1"/>
  <c r="K63" i="13" s="1"/>
  <c r="K64" i="13" s="1"/>
  <c r="K65" i="13" s="1"/>
  <c r="K66" i="13" s="1"/>
  <c r="K67" i="13" s="1"/>
  <c r="K68" i="13" s="1"/>
  <c r="K69" i="13" s="1"/>
  <c r="K70" i="13" s="1"/>
  <c r="B56" i="13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B74" i="13" s="1"/>
  <c r="B75" i="13" s="1"/>
  <c r="T86" i="13"/>
  <c r="T87" i="13" s="1"/>
  <c r="T88" i="13" s="1"/>
  <c r="T89" i="13" s="1"/>
  <c r="T90" i="13" s="1"/>
  <c r="T91" i="13" s="1"/>
  <c r="T92" i="13" s="1"/>
  <c r="T93" i="13" s="1"/>
  <c r="T94" i="13" s="1"/>
  <c r="T95" i="13" s="1"/>
  <c r="T96" i="13" s="1"/>
  <c r="T97" i="13" s="1"/>
  <c r="T98" i="13" s="1"/>
  <c r="T99" i="13" s="1"/>
  <c r="T100" i="13" s="1"/>
  <c r="T101" i="13" s="1"/>
  <c r="T102" i="13" s="1"/>
  <c r="T103" i="13" s="1"/>
  <c r="K85" i="13"/>
  <c r="K86" i="13" s="1"/>
  <c r="K87" i="13" s="1"/>
  <c r="K88" i="13" s="1"/>
  <c r="K89" i="13" s="1"/>
  <c r="K90" i="13" s="1"/>
  <c r="K91" i="13" s="1"/>
  <c r="K92" i="13" s="1"/>
  <c r="K93" i="13" s="1"/>
  <c r="K94" i="13" s="1"/>
  <c r="K95" i="13" s="1"/>
  <c r="K96" i="13" s="1"/>
  <c r="K97" i="13" s="1"/>
  <c r="K98" i="13" s="1"/>
  <c r="K99" i="13" s="1"/>
  <c r="K100" i="13" s="1"/>
  <c r="K101" i="13" s="1"/>
  <c r="K102" i="13" s="1"/>
  <c r="K103" i="13" s="1"/>
  <c r="B85" i="13"/>
  <c r="B86" i="13" s="1"/>
  <c r="B87" i="13" s="1"/>
  <c r="B88" i="13" s="1"/>
  <c r="B89" i="13" s="1"/>
  <c r="B90" i="13" s="1"/>
  <c r="B91" i="13" s="1"/>
  <c r="B92" i="13" s="1"/>
  <c r="B93" i="13" s="1"/>
  <c r="B94" i="13" s="1"/>
  <c r="B95" i="13" s="1"/>
  <c r="B96" i="13" s="1"/>
  <c r="B97" i="13" s="1"/>
  <c r="B98" i="13" s="1"/>
  <c r="B99" i="13" s="1"/>
  <c r="B100" i="13" s="1"/>
  <c r="B101" i="13" s="1"/>
  <c r="B102" i="13" s="1"/>
  <c r="B103" i="13" s="1"/>
  <c r="B104" i="13" s="1"/>
  <c r="B105" i="13" s="1"/>
  <c r="V42" i="13"/>
  <c r="V70" i="13" s="1"/>
  <c r="V41" i="13"/>
  <c r="V69" i="13" s="1"/>
  <c r="V40" i="13"/>
  <c r="V68" i="13" s="1"/>
  <c r="V39" i="13"/>
  <c r="V67" i="13" s="1"/>
  <c r="V38" i="13"/>
  <c r="V66" i="13" s="1"/>
  <c r="V37" i="13"/>
  <c r="V65" i="13" s="1"/>
  <c r="V36" i="13"/>
  <c r="V64" i="13" s="1"/>
  <c r="V35" i="13"/>
  <c r="V63" i="13" s="1"/>
  <c r="V34" i="13"/>
  <c r="V62" i="13" s="1"/>
  <c r="V33" i="13"/>
  <c r="V61" i="13" s="1"/>
  <c r="V32" i="13"/>
  <c r="V60" i="13" s="1"/>
  <c r="V31" i="13"/>
  <c r="V59" i="13" s="1"/>
  <c r="V30" i="13"/>
  <c r="V58" i="13" s="1"/>
  <c r="V29" i="13"/>
  <c r="V57" i="13" s="1"/>
  <c r="V28" i="13"/>
  <c r="V56" i="13" s="1"/>
  <c r="V26" i="13"/>
  <c r="V103" i="13" s="1"/>
  <c r="V23" i="13"/>
  <c r="V100" i="13" s="1"/>
  <c r="V21" i="13"/>
  <c r="V98" i="13" s="1"/>
  <c r="V20" i="13"/>
  <c r="V97" i="13" s="1"/>
  <c r="V19" i="13"/>
  <c r="V96" i="13" s="1"/>
  <c r="V18" i="13"/>
  <c r="V95" i="13" s="1"/>
  <c r="V17" i="13"/>
  <c r="V94" i="13" s="1"/>
  <c r="V15" i="13"/>
  <c r="V92" i="13" s="1"/>
  <c r="V14" i="13"/>
  <c r="V91" i="13" s="1"/>
  <c r="V13" i="13"/>
  <c r="V90" i="13" s="1"/>
  <c r="V12" i="13"/>
  <c r="V89" i="13" s="1"/>
  <c r="V11" i="13"/>
  <c r="V88" i="13" s="1"/>
  <c r="V10" i="13"/>
  <c r="V87" i="13" s="1"/>
  <c r="V9" i="13"/>
  <c r="V86" i="13" s="1"/>
  <c r="V8" i="13"/>
  <c r="V84" i="13"/>
  <c r="W2" i="13"/>
  <c r="V2" i="13"/>
  <c r="T8" i="13"/>
  <c r="T9" i="13" s="1"/>
  <c r="T10" i="13" s="1"/>
  <c r="T11" i="13" s="1"/>
  <c r="T12" i="13" s="1"/>
  <c r="T13" i="13" s="1"/>
  <c r="T14" i="13" s="1"/>
  <c r="T15" i="13" s="1"/>
  <c r="T16" i="13" s="1"/>
  <c r="T17" i="13" s="1"/>
  <c r="T18" i="13" s="1"/>
  <c r="T19" i="13" s="1"/>
  <c r="T20" i="13" s="1"/>
  <c r="T21" i="13" s="1"/>
  <c r="T22" i="13" s="1"/>
  <c r="T23" i="13" s="1"/>
  <c r="T24" i="13" s="1"/>
  <c r="T25" i="13" s="1"/>
  <c r="T26" i="13" s="1"/>
  <c r="T27" i="13" s="1"/>
  <c r="T28" i="13" s="1"/>
  <c r="T29" i="13" s="1"/>
  <c r="T30" i="13" s="1"/>
  <c r="T31" i="13" s="1"/>
  <c r="T32" i="13" s="1"/>
  <c r="T33" i="13" s="1"/>
  <c r="T34" i="13" s="1"/>
  <c r="T35" i="13" s="1"/>
  <c r="T36" i="13" s="1"/>
  <c r="T37" i="13" s="1"/>
  <c r="T38" i="13" s="1"/>
  <c r="T39" i="13" s="1"/>
  <c r="T40" i="13" s="1"/>
  <c r="T41" i="13" s="1"/>
  <c r="T42" i="13" s="1"/>
  <c r="N2" i="13"/>
  <c r="M2" i="13"/>
  <c r="M42" i="13"/>
  <c r="M70" i="13" s="1"/>
  <c r="M41" i="13"/>
  <c r="M69" i="13" s="1"/>
  <c r="M40" i="13"/>
  <c r="M68" i="13" s="1"/>
  <c r="M39" i="13"/>
  <c r="M67" i="13" s="1"/>
  <c r="M38" i="13"/>
  <c r="M66" i="13" s="1"/>
  <c r="M37" i="13"/>
  <c r="M65" i="13" s="1"/>
  <c r="M36" i="13"/>
  <c r="M64" i="13" s="1"/>
  <c r="M35" i="13"/>
  <c r="M63" i="13" s="1"/>
  <c r="M34" i="13"/>
  <c r="M62" i="13" s="1"/>
  <c r="M33" i="13"/>
  <c r="M61" i="13" s="1"/>
  <c r="M32" i="13"/>
  <c r="M60" i="13" s="1"/>
  <c r="M31" i="13"/>
  <c r="M59" i="13" s="1"/>
  <c r="M30" i="13"/>
  <c r="M58" i="13" s="1"/>
  <c r="M29" i="13"/>
  <c r="M57" i="13" s="1"/>
  <c r="M28" i="13"/>
  <c r="M56" i="13" s="1"/>
  <c r="M26" i="13"/>
  <c r="M103" i="13" s="1"/>
  <c r="M23" i="13"/>
  <c r="M100" i="13" s="1"/>
  <c r="M21" i="13"/>
  <c r="M98" i="13" s="1"/>
  <c r="M20" i="13"/>
  <c r="M97" i="13" s="1"/>
  <c r="M19" i="13"/>
  <c r="M96" i="13" s="1"/>
  <c r="M18" i="13"/>
  <c r="M95" i="13" s="1"/>
  <c r="M17" i="13"/>
  <c r="M94" i="13" s="1"/>
  <c r="M15" i="13"/>
  <c r="M92" i="13" s="1"/>
  <c r="M14" i="13"/>
  <c r="M91" i="13" s="1"/>
  <c r="M13" i="13"/>
  <c r="M90" i="13" s="1"/>
  <c r="M12" i="13"/>
  <c r="M89" i="13" s="1"/>
  <c r="M11" i="13"/>
  <c r="M88" i="13" s="1"/>
  <c r="M10" i="13"/>
  <c r="M87" i="13" s="1"/>
  <c r="M9" i="13"/>
  <c r="M86" i="13" s="1"/>
  <c r="M8" i="13"/>
  <c r="M84" i="13"/>
  <c r="E49" i="13"/>
  <c r="E75" i="13" s="1"/>
  <c r="E48" i="13"/>
  <c r="E74" i="13" s="1"/>
  <c r="E47" i="13"/>
  <c r="E73" i="13" s="1"/>
  <c r="E46" i="13"/>
  <c r="E72" i="13" s="1"/>
  <c r="E45" i="13"/>
  <c r="E71" i="13" s="1"/>
  <c r="E44" i="13"/>
  <c r="E70" i="13" s="1"/>
  <c r="E43" i="13"/>
  <c r="E69" i="13" s="1"/>
  <c r="E42" i="13"/>
  <c r="E68" i="13" s="1"/>
  <c r="E41" i="13"/>
  <c r="E67" i="13" s="1"/>
  <c r="E40" i="13"/>
  <c r="E66" i="13" s="1"/>
  <c r="E39" i="13"/>
  <c r="E65" i="13" s="1"/>
  <c r="E38" i="13"/>
  <c r="E64" i="13" s="1"/>
  <c r="E37" i="13"/>
  <c r="E63" i="13" s="1"/>
  <c r="E36" i="13"/>
  <c r="E62" i="13" s="1"/>
  <c r="E35" i="13"/>
  <c r="E61" i="13" s="1"/>
  <c r="E34" i="13"/>
  <c r="E60" i="13" s="1"/>
  <c r="E33" i="13"/>
  <c r="E59" i="13" s="1"/>
  <c r="E32" i="13"/>
  <c r="E58" i="13" s="1"/>
  <c r="E31" i="13"/>
  <c r="E57" i="13" s="1"/>
  <c r="E30" i="13"/>
  <c r="E56" i="13" s="1"/>
  <c r="E28" i="13"/>
  <c r="E105" i="13" s="1"/>
  <c r="E25" i="13"/>
  <c r="E102" i="13" s="1"/>
  <c r="E23" i="13"/>
  <c r="E100" i="13" s="1"/>
  <c r="E22" i="13"/>
  <c r="E99" i="13" s="1"/>
  <c r="E21" i="13"/>
  <c r="E98" i="13" s="1"/>
  <c r="E20" i="13"/>
  <c r="E97" i="13" s="1"/>
  <c r="E19" i="13"/>
  <c r="E96" i="13" s="1"/>
  <c r="E17" i="13"/>
  <c r="E94" i="13" s="1"/>
  <c r="E16" i="13"/>
  <c r="E93" i="13" s="1"/>
  <c r="E15" i="13"/>
  <c r="E92" i="13" s="1"/>
  <c r="E14" i="13"/>
  <c r="E91" i="13" s="1"/>
  <c r="E13" i="13"/>
  <c r="E90" i="13" s="1"/>
  <c r="E12" i="13"/>
  <c r="E89" i="13" s="1"/>
  <c r="E11" i="13"/>
  <c r="E88" i="13" s="1"/>
  <c r="E10" i="13"/>
  <c r="E87" i="13" s="1"/>
  <c r="E86" i="13"/>
  <c r="E85" i="13"/>
  <c r="E84" i="13"/>
  <c r="U52" i="12"/>
  <c r="U51" i="12"/>
  <c r="U50" i="12"/>
  <c r="U49" i="12"/>
  <c r="E2" i="13"/>
  <c r="D2" i="13"/>
  <c r="D1" i="13"/>
  <c r="B8" i="13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V85" i="13" l="1"/>
  <c r="M85" i="13"/>
  <c r="AZ14" i="12"/>
  <c r="BC5" i="12" s="1"/>
  <c r="AZ16" i="12"/>
  <c r="BA10" i="12"/>
  <c r="T49" i="12"/>
  <c r="D47" i="13" s="1"/>
  <c r="D73" i="13" s="1"/>
  <c r="T50" i="12"/>
  <c r="D48" i="13" s="1"/>
  <c r="D74" i="13" s="1"/>
  <c r="T51" i="12"/>
  <c r="D49" i="13" s="1"/>
  <c r="D75" i="13" s="1"/>
  <c r="B50" i="13"/>
  <c r="K8" i="13"/>
  <c r="K9" i="13" s="1"/>
  <c r="K10" i="13" s="1"/>
  <c r="K11" i="13" s="1"/>
  <c r="K12" i="13" s="1"/>
  <c r="K13" i="13" s="1"/>
  <c r="K14" i="13" s="1"/>
  <c r="K15" i="13" s="1"/>
  <c r="K16" i="13" s="1"/>
  <c r="K17" i="13" s="1"/>
  <c r="K18" i="13" s="1"/>
  <c r="K19" i="13" s="1"/>
  <c r="K20" i="13" s="1"/>
  <c r="K21" i="13" s="1"/>
  <c r="K22" i="13" s="1"/>
  <c r="K23" i="13" s="1"/>
  <c r="K24" i="13" s="1"/>
  <c r="K25" i="13" s="1"/>
  <c r="K26" i="13" s="1"/>
  <c r="K27" i="13" s="1"/>
  <c r="K28" i="13" s="1"/>
  <c r="K29" i="13" s="1"/>
  <c r="K30" i="13" s="1"/>
  <c r="K31" i="13" s="1"/>
  <c r="K32" i="13" s="1"/>
  <c r="K33" i="13" s="1"/>
  <c r="K34" i="13" s="1"/>
  <c r="K35" i="13" s="1"/>
  <c r="K36" i="13" s="1"/>
  <c r="K37" i="13" s="1"/>
  <c r="K38" i="13" s="1"/>
  <c r="K39" i="13" s="1"/>
  <c r="K40" i="13" s="1"/>
  <c r="K41" i="13" s="1"/>
  <c r="K42" i="13" s="1"/>
  <c r="T43" i="13"/>
  <c r="AZ18" i="12" l="1"/>
  <c r="BA16" i="12"/>
  <c r="BC17" i="12"/>
  <c r="BC8" i="12"/>
  <c r="K43" i="13"/>
  <c r="K318" i="12" l="1"/>
  <c r="M316" i="12"/>
  <c r="M315" i="12"/>
  <c r="M312" i="12"/>
  <c r="M311" i="12"/>
  <c r="M310" i="12"/>
  <c r="M309" i="12"/>
  <c r="M308" i="12"/>
  <c r="M307" i="12"/>
  <c r="M306" i="12"/>
  <c r="M305" i="12"/>
  <c r="M304" i="12"/>
  <c r="M303" i="12"/>
  <c r="M302" i="12"/>
  <c r="M301" i="12"/>
  <c r="M300" i="12"/>
  <c r="M299" i="12"/>
  <c r="M298" i="12"/>
  <c r="M297" i="12"/>
  <c r="M296" i="12"/>
  <c r="M295" i="12" l="1"/>
  <c r="M294" i="12"/>
  <c r="M293" i="12"/>
  <c r="M292" i="12"/>
  <c r="M291" i="12"/>
  <c r="M290" i="12"/>
  <c r="P295" i="12"/>
  <c r="P294" i="12"/>
  <c r="P293" i="12"/>
  <c r="P292" i="12"/>
  <c r="N289" i="12" s="1"/>
  <c r="P291" i="12"/>
  <c r="P290" i="12"/>
  <c r="P289" i="12"/>
  <c r="P288" i="12"/>
  <c r="N285" i="12" s="1"/>
  <c r="P287" i="12"/>
  <c r="P286" i="12"/>
  <c r="P285" i="12"/>
  <c r="P284" i="12"/>
  <c r="Q287" i="12" s="1"/>
  <c r="P283" i="12"/>
  <c r="P282" i="12"/>
  <c r="P281" i="12"/>
  <c r="P280" i="12"/>
  <c r="N277" i="12" s="1"/>
  <c r="P279" i="12"/>
  <c r="P278" i="12"/>
  <c r="P277" i="12"/>
  <c r="P276" i="12"/>
  <c r="N273" i="12" s="1"/>
  <c r="P275" i="12"/>
  <c r="P274" i="12"/>
  <c r="P273" i="12"/>
  <c r="P272" i="12"/>
  <c r="N269" i="12" s="1"/>
  <c r="P271" i="12"/>
  <c r="P270" i="12"/>
  <c r="P269" i="12"/>
  <c r="P268" i="12"/>
  <c r="Q271" i="12" s="1"/>
  <c r="P267" i="12"/>
  <c r="P266" i="12"/>
  <c r="P265" i="12"/>
  <c r="P264" i="12"/>
  <c r="N261" i="12" s="1"/>
  <c r="P263" i="12"/>
  <c r="P262" i="12"/>
  <c r="P261" i="12"/>
  <c r="P260" i="12"/>
  <c r="N257" i="12" s="1"/>
  <c r="P259" i="12"/>
  <c r="P258" i="12"/>
  <c r="P257" i="12"/>
  <c r="P256" i="12"/>
  <c r="N253" i="12" s="1"/>
  <c r="P255" i="12"/>
  <c r="P254" i="12"/>
  <c r="P253" i="12"/>
  <c r="P252" i="12"/>
  <c r="Q255" i="12" s="1"/>
  <c r="P251" i="12"/>
  <c r="P250" i="12"/>
  <c r="P249" i="12"/>
  <c r="P248" i="12"/>
  <c r="N245" i="12" s="1"/>
  <c r="P247" i="12"/>
  <c r="P246" i="12"/>
  <c r="P245" i="12"/>
  <c r="P244" i="12"/>
  <c r="N241" i="12" s="1"/>
  <c r="P243" i="12"/>
  <c r="P242" i="12"/>
  <c r="P241" i="12"/>
  <c r="P240" i="12"/>
  <c r="N237" i="12" s="1"/>
  <c r="P239" i="12"/>
  <c r="P238" i="12"/>
  <c r="P237" i="12"/>
  <c r="P236" i="12"/>
  <c r="Q239" i="12" s="1"/>
  <c r="P235" i="12"/>
  <c r="P234" i="12"/>
  <c r="P233" i="12"/>
  <c r="P232" i="12"/>
  <c r="N229" i="12" s="1"/>
  <c r="P231" i="12"/>
  <c r="P230" i="12"/>
  <c r="P229" i="12"/>
  <c r="P228" i="12"/>
  <c r="N225" i="12" s="1"/>
  <c r="P227" i="12"/>
  <c r="P226" i="12"/>
  <c r="P225" i="12"/>
  <c r="P224" i="12"/>
  <c r="N221" i="12" s="1"/>
  <c r="P223" i="12"/>
  <c r="P222" i="12"/>
  <c r="P221" i="12"/>
  <c r="P220" i="12"/>
  <c r="Q223" i="12" s="1"/>
  <c r="P219" i="12"/>
  <c r="P218" i="12"/>
  <c r="P217" i="12"/>
  <c r="P216" i="12"/>
  <c r="N213" i="12" s="1"/>
  <c r="P215" i="12"/>
  <c r="P214" i="12"/>
  <c r="P213" i="12"/>
  <c r="P212" i="12"/>
  <c r="N209" i="12" s="1"/>
  <c r="P211" i="12"/>
  <c r="P210" i="12"/>
  <c r="P209" i="12"/>
  <c r="P208" i="12"/>
  <c r="P207" i="12"/>
  <c r="P206" i="12"/>
  <c r="P205" i="12"/>
  <c r="P204" i="12"/>
  <c r="Q207" i="12" s="1"/>
  <c r="P203" i="12"/>
  <c r="P202" i="12"/>
  <c r="P201" i="12"/>
  <c r="P200" i="12"/>
  <c r="P199" i="12"/>
  <c r="P198" i="12"/>
  <c r="P197" i="12"/>
  <c r="P196" i="12"/>
  <c r="P195" i="12"/>
  <c r="P194" i="12"/>
  <c r="P193" i="12"/>
  <c r="P192" i="12"/>
  <c r="P191" i="12"/>
  <c r="P190" i="12"/>
  <c r="P189" i="12"/>
  <c r="P188" i="12"/>
  <c r="Q191" i="12" s="1"/>
  <c r="P187" i="12"/>
  <c r="P186" i="12"/>
  <c r="P185" i="12"/>
  <c r="P184" i="12"/>
  <c r="P183" i="12"/>
  <c r="P182" i="12"/>
  <c r="P181" i="12"/>
  <c r="P180" i="12"/>
  <c r="N177" i="12" s="1"/>
  <c r="P179" i="12"/>
  <c r="P178" i="12"/>
  <c r="P177" i="12"/>
  <c r="P176" i="12"/>
  <c r="P175" i="12"/>
  <c r="P174" i="12"/>
  <c r="P173" i="12"/>
  <c r="P172" i="12"/>
  <c r="Q175" i="12" s="1"/>
  <c r="P171" i="12"/>
  <c r="P170" i="12"/>
  <c r="P167" i="12"/>
  <c r="P166" i="12"/>
  <c r="P165" i="12"/>
  <c r="P164" i="12"/>
  <c r="P163" i="12"/>
  <c r="P162" i="12"/>
  <c r="N161" i="12" s="1"/>
  <c r="P161" i="12"/>
  <c r="P160" i="12"/>
  <c r="P156" i="12"/>
  <c r="P155" i="12"/>
  <c r="P154" i="12"/>
  <c r="P153" i="12"/>
  <c r="P152" i="12"/>
  <c r="P151" i="12"/>
  <c r="P150" i="12"/>
  <c r="P149" i="12"/>
  <c r="P148" i="12"/>
  <c r="P147" i="12"/>
  <c r="P146" i="12"/>
  <c r="P145" i="12"/>
  <c r="P144" i="12"/>
  <c r="P143" i="12"/>
  <c r="P142" i="12"/>
  <c r="P141" i="12"/>
  <c r="P140" i="12"/>
  <c r="Q143" i="12" s="1"/>
  <c r="P139" i="12"/>
  <c r="N137" i="12" s="1"/>
  <c r="P138" i="12"/>
  <c r="P137" i="12"/>
  <c r="P136" i="12"/>
  <c r="P135" i="12"/>
  <c r="P134" i="12"/>
  <c r="P133" i="12"/>
  <c r="P132" i="12"/>
  <c r="P131" i="12"/>
  <c r="N129" i="12" s="1"/>
  <c r="P130" i="12"/>
  <c r="P129" i="12"/>
  <c r="P128" i="12"/>
  <c r="P127" i="12"/>
  <c r="Q127" i="12" s="1"/>
  <c r="P126" i="12"/>
  <c r="P125" i="12"/>
  <c r="P124" i="12"/>
  <c r="P123" i="12"/>
  <c r="P120" i="12"/>
  <c r="P119" i="12"/>
  <c r="P118" i="12"/>
  <c r="P117" i="12"/>
  <c r="P116" i="12"/>
  <c r="P115" i="12"/>
  <c r="P114" i="12"/>
  <c r="P110" i="12"/>
  <c r="P109" i="12"/>
  <c r="P108" i="12"/>
  <c r="P107" i="12"/>
  <c r="P104" i="12"/>
  <c r="P103" i="12"/>
  <c r="P102" i="12"/>
  <c r="P101" i="12"/>
  <c r="P100" i="12"/>
  <c r="P99" i="12"/>
  <c r="P98" i="12"/>
  <c r="P97" i="12"/>
  <c r="P96" i="12"/>
  <c r="P92" i="12"/>
  <c r="P91" i="12"/>
  <c r="P90" i="12"/>
  <c r="P89" i="12"/>
  <c r="P88" i="12"/>
  <c r="P87" i="12"/>
  <c r="P86" i="12"/>
  <c r="P85" i="12"/>
  <c r="Q88" i="12" s="1"/>
  <c r="P84" i="12"/>
  <c r="P83" i="12"/>
  <c r="P82" i="12"/>
  <c r="P72" i="12"/>
  <c r="N293" i="12"/>
  <c r="N281" i="12"/>
  <c r="N265" i="12"/>
  <c r="N249" i="12"/>
  <c r="N233" i="12"/>
  <c r="N217" i="12"/>
  <c r="N193" i="12"/>
  <c r="N145" i="12"/>
  <c r="F351" i="12"/>
  <c r="F350" i="12"/>
  <c r="F349" i="12"/>
  <c r="F348" i="12"/>
  <c r="F347" i="12"/>
  <c r="F346" i="12"/>
  <c r="F345" i="12"/>
  <c r="F344" i="12"/>
  <c r="F343" i="12"/>
  <c r="F342" i="12"/>
  <c r="F341" i="12"/>
  <c r="F340" i="12"/>
  <c r="F338" i="12"/>
  <c r="F337" i="12"/>
  <c r="F336" i="12"/>
  <c r="F335" i="12"/>
  <c r="N201" i="12" l="1"/>
  <c r="Q99" i="12"/>
  <c r="Q176" i="12"/>
  <c r="Q180" i="12"/>
  <c r="Q184" i="12"/>
  <c r="Q188" i="12"/>
  <c r="Q192" i="12"/>
  <c r="Q196" i="12"/>
  <c r="Q200" i="12"/>
  <c r="Q204" i="12"/>
  <c r="Q208" i="12"/>
  <c r="Q212" i="12"/>
  <c r="Q216" i="12"/>
  <c r="Q220" i="12"/>
  <c r="Q224" i="12"/>
  <c r="Q228" i="12"/>
  <c r="Q232" i="12"/>
  <c r="Q236" i="12"/>
  <c r="Q240" i="12"/>
  <c r="Q244" i="12"/>
  <c r="Q248" i="12"/>
  <c r="Q252" i="12"/>
  <c r="Q256" i="12"/>
  <c r="Q260" i="12"/>
  <c r="Q264" i="12"/>
  <c r="Q268" i="12"/>
  <c r="Q272" i="12"/>
  <c r="Q276" i="12"/>
  <c r="Q280" i="12"/>
  <c r="Q284" i="12"/>
  <c r="Q288" i="12"/>
  <c r="Q292" i="12"/>
  <c r="N185" i="12"/>
  <c r="N125" i="12"/>
  <c r="N141" i="12"/>
  <c r="Q164" i="12"/>
  <c r="Q174" i="12"/>
  <c r="Q178" i="12"/>
  <c r="Q182" i="12"/>
  <c r="Q186" i="12"/>
  <c r="Q190" i="12"/>
  <c r="Q194" i="12"/>
  <c r="Q198" i="12"/>
  <c r="Q202" i="12"/>
  <c r="Q206" i="12"/>
  <c r="Q210" i="12"/>
  <c r="Q214" i="12"/>
  <c r="Q218" i="12"/>
  <c r="Q222" i="12"/>
  <c r="Q226" i="12"/>
  <c r="Q230" i="12"/>
  <c r="Q234" i="12"/>
  <c r="Q238" i="12"/>
  <c r="Q242" i="12"/>
  <c r="Q246" i="12"/>
  <c r="Q250" i="12"/>
  <c r="Q254" i="12"/>
  <c r="Q258" i="12"/>
  <c r="Q262" i="12"/>
  <c r="Q266" i="12"/>
  <c r="Q270" i="12"/>
  <c r="Q274" i="12"/>
  <c r="Q278" i="12"/>
  <c r="Q282" i="12"/>
  <c r="Q286" i="12"/>
  <c r="Q290" i="12"/>
  <c r="N96" i="12"/>
  <c r="Q101" i="12"/>
  <c r="N173" i="12"/>
  <c r="N189" i="12"/>
  <c r="N205" i="12"/>
  <c r="Q128" i="12"/>
  <c r="Q132" i="12"/>
  <c r="Q136" i="12"/>
  <c r="Q140" i="12"/>
  <c r="Q144" i="12"/>
  <c r="Q148" i="12"/>
  <c r="Q152" i="12"/>
  <c r="Q131" i="12"/>
  <c r="Q147" i="12"/>
  <c r="Q163" i="12"/>
  <c r="Q179" i="12"/>
  <c r="Q195" i="12"/>
  <c r="Q211" i="12"/>
  <c r="Q227" i="12"/>
  <c r="Q243" i="12"/>
  <c r="Q259" i="12"/>
  <c r="Q275" i="12"/>
  <c r="Q291" i="12"/>
  <c r="N132" i="12"/>
  <c r="Q137" i="12"/>
  <c r="N140" i="12"/>
  <c r="Q145" i="12"/>
  <c r="N148" i="12"/>
  <c r="Q153" i="12"/>
  <c r="Q135" i="12"/>
  <c r="Q151" i="12"/>
  <c r="Q183" i="12"/>
  <c r="Q199" i="12"/>
  <c r="Q215" i="12"/>
  <c r="Q231" i="12"/>
  <c r="Q247" i="12"/>
  <c r="Q263" i="12"/>
  <c r="Q279" i="12"/>
  <c r="N97" i="12"/>
  <c r="Q117" i="12"/>
  <c r="N124" i="12"/>
  <c r="Q129" i="12"/>
  <c r="N128" i="12"/>
  <c r="Q133" i="12"/>
  <c r="N136" i="12"/>
  <c r="Q141" i="12"/>
  <c r="N144" i="12"/>
  <c r="Q149" i="12"/>
  <c r="N133" i="12"/>
  <c r="N149" i="12"/>
  <c r="N181" i="12"/>
  <c r="N197" i="12"/>
  <c r="Q100" i="12"/>
  <c r="Q126" i="12"/>
  <c r="Q130" i="12"/>
  <c r="Q134" i="12"/>
  <c r="Q138" i="12"/>
  <c r="Q142" i="12"/>
  <c r="Q146" i="12"/>
  <c r="Q150" i="12"/>
  <c r="Q139" i="12"/>
  <c r="Q187" i="12"/>
  <c r="Q203" i="12"/>
  <c r="Q219" i="12"/>
  <c r="Q235" i="12"/>
  <c r="Q251" i="12"/>
  <c r="Q267" i="12"/>
  <c r="Q283" i="12"/>
  <c r="N160" i="12"/>
  <c r="N172" i="12"/>
  <c r="N176" i="12"/>
  <c r="N180" i="12"/>
  <c r="N184" i="12"/>
  <c r="N188" i="12"/>
  <c r="N192" i="12"/>
  <c r="N196" i="12"/>
  <c r="N200" i="12"/>
  <c r="N204" i="12"/>
  <c r="N208" i="12"/>
  <c r="N212" i="12"/>
  <c r="N216" i="12"/>
  <c r="N220" i="12"/>
  <c r="N224" i="12"/>
  <c r="N228" i="12"/>
  <c r="N232" i="12"/>
  <c r="N236" i="12"/>
  <c r="N240" i="12"/>
  <c r="N244" i="12"/>
  <c r="N248" i="12"/>
  <c r="N252" i="12"/>
  <c r="N256" i="12"/>
  <c r="N260" i="12"/>
  <c r="N264" i="12"/>
  <c r="N268" i="12"/>
  <c r="N272" i="12"/>
  <c r="N276" i="12"/>
  <c r="N280" i="12"/>
  <c r="N284" i="12"/>
  <c r="N288" i="12"/>
  <c r="N292" i="12"/>
  <c r="Q173" i="12"/>
  <c r="Q177" i="12"/>
  <c r="Q181" i="12"/>
  <c r="Q185" i="12"/>
  <c r="Q189" i="12"/>
  <c r="Q193" i="12"/>
  <c r="Q197" i="12"/>
  <c r="Q201" i="12"/>
  <c r="Q205" i="12"/>
  <c r="Q209" i="12"/>
  <c r="Q213" i="12"/>
  <c r="Q217" i="12"/>
  <c r="Q221" i="12"/>
  <c r="Q225" i="12"/>
  <c r="Q229" i="12"/>
  <c r="Q233" i="12"/>
  <c r="Q237" i="12"/>
  <c r="Q241" i="12"/>
  <c r="Q245" i="12"/>
  <c r="Q249" i="12"/>
  <c r="Q253" i="12"/>
  <c r="Q257" i="12"/>
  <c r="Q261" i="12"/>
  <c r="Q265" i="12"/>
  <c r="Q269" i="12"/>
  <c r="Q273" i="12"/>
  <c r="Q277" i="12"/>
  <c r="Q281" i="12"/>
  <c r="Q285" i="12"/>
  <c r="Q289" i="12"/>
  <c r="N84" i="12"/>
  <c r="Q86" i="12"/>
  <c r="Q87" i="12"/>
  <c r="Q85" i="12"/>
  <c r="Q89" i="12"/>
  <c r="N85" i="12"/>
  <c r="N82" i="12"/>
  <c r="N86" i="12"/>
  <c r="N98" i="12"/>
  <c r="N114" i="12"/>
  <c r="N126" i="12"/>
  <c r="N130" i="12"/>
  <c r="N134" i="12"/>
  <c r="N138" i="12"/>
  <c r="N142" i="12"/>
  <c r="N146" i="12"/>
  <c r="N150" i="12"/>
  <c r="N170" i="12"/>
  <c r="N174" i="12"/>
  <c r="N178" i="12"/>
  <c r="N182" i="12"/>
  <c r="N186" i="12"/>
  <c r="N190" i="12"/>
  <c r="N194" i="12"/>
  <c r="N198" i="12"/>
  <c r="N202" i="12"/>
  <c r="N206" i="12"/>
  <c r="N210" i="12"/>
  <c r="N214" i="12"/>
  <c r="N218" i="12"/>
  <c r="N222" i="12"/>
  <c r="N226" i="12"/>
  <c r="N230" i="12"/>
  <c r="N234" i="12"/>
  <c r="N238" i="12"/>
  <c r="N242" i="12"/>
  <c r="N246" i="12"/>
  <c r="N250" i="12"/>
  <c r="N254" i="12"/>
  <c r="N258" i="12"/>
  <c r="N262" i="12"/>
  <c r="N266" i="12"/>
  <c r="N270" i="12"/>
  <c r="N274" i="12"/>
  <c r="N278" i="12"/>
  <c r="N282" i="12"/>
  <c r="N286" i="12"/>
  <c r="N290" i="12"/>
  <c r="N83" i="12"/>
  <c r="N123" i="12"/>
  <c r="N127" i="12"/>
  <c r="N131" i="12"/>
  <c r="N135" i="12"/>
  <c r="N139" i="12"/>
  <c r="N143" i="12"/>
  <c r="N147" i="12"/>
  <c r="N171" i="12"/>
  <c r="N175" i="12"/>
  <c r="N179" i="12"/>
  <c r="N183" i="12"/>
  <c r="N187" i="12"/>
  <c r="N191" i="12"/>
  <c r="N195" i="12"/>
  <c r="N199" i="12"/>
  <c r="N203" i="12"/>
  <c r="N207" i="12"/>
  <c r="N211" i="12"/>
  <c r="N215" i="12"/>
  <c r="N219" i="12"/>
  <c r="N223" i="12"/>
  <c r="N227" i="12"/>
  <c r="N231" i="12"/>
  <c r="N235" i="12"/>
  <c r="N239" i="12"/>
  <c r="N243" i="12"/>
  <c r="N247" i="12"/>
  <c r="N251" i="12"/>
  <c r="N255" i="12"/>
  <c r="N259" i="12"/>
  <c r="N263" i="12"/>
  <c r="N267" i="12"/>
  <c r="N271" i="12"/>
  <c r="N275" i="12"/>
  <c r="N279" i="12"/>
  <c r="N283" i="12"/>
  <c r="N287" i="12"/>
  <c r="N291" i="12"/>
  <c r="V26" i="12"/>
  <c r="V28" i="12"/>
  <c r="V29" i="12"/>
  <c r="V31" i="12"/>
  <c r="U48" i="12"/>
  <c r="T48" i="12" s="1"/>
  <c r="D46" i="13" s="1"/>
  <c r="D72" i="13" s="1"/>
  <c r="U47" i="12"/>
  <c r="U46" i="12"/>
  <c r="U45" i="12"/>
  <c r="U44" i="12"/>
  <c r="U43" i="12"/>
  <c r="U42" i="12"/>
  <c r="U41" i="12"/>
  <c r="U40" i="12"/>
  <c r="U39" i="12"/>
  <c r="U38" i="12"/>
  <c r="U37" i="12"/>
  <c r="U36" i="12"/>
  <c r="U35" i="12"/>
  <c r="U34" i="12"/>
  <c r="U33" i="12"/>
  <c r="U32" i="12"/>
  <c r="U31" i="12"/>
  <c r="U30" i="12"/>
  <c r="U29" i="12"/>
  <c r="U28" i="12"/>
  <c r="U27" i="12"/>
  <c r="U25" i="12"/>
  <c r="U24" i="12"/>
  <c r="U23" i="12"/>
  <c r="U22" i="12"/>
  <c r="U21" i="12"/>
  <c r="U20" i="12"/>
  <c r="U19" i="12"/>
  <c r="U18" i="12"/>
  <c r="U16" i="12"/>
  <c r="V57" i="12" l="1"/>
  <c r="AI2" i="12"/>
  <c r="M25" i="13"/>
  <c r="V25" i="13"/>
  <c r="E27" i="13"/>
  <c r="BC7" i="12"/>
  <c r="V27" i="13"/>
  <c r="E29" i="13"/>
  <c r="M27" i="13"/>
  <c r="E26" i="13"/>
  <c r="M24" i="13"/>
  <c r="V24" i="13"/>
  <c r="E18" i="13"/>
  <c r="M16" i="13"/>
  <c r="V16" i="13"/>
  <c r="M22" i="13"/>
  <c r="V22" i="13"/>
  <c r="E24" i="13"/>
  <c r="AI1" i="12"/>
  <c r="AI4" i="12" s="1"/>
  <c r="P296" i="12"/>
  <c r="P297" i="12"/>
  <c r="P298" i="12"/>
  <c r="P299" i="12"/>
  <c r="P300" i="12"/>
  <c r="P301" i="12"/>
  <c r="M65" i="12"/>
  <c r="M66" i="12"/>
  <c r="M82" i="12"/>
  <c r="M83" i="12"/>
  <c r="M84" i="12"/>
  <c r="M85" i="12"/>
  <c r="M86" i="12"/>
  <c r="M87" i="12"/>
  <c r="M88" i="12"/>
  <c r="M89" i="12"/>
  <c r="M90" i="12"/>
  <c r="M96" i="12"/>
  <c r="M97" i="12"/>
  <c r="M100" i="12"/>
  <c r="M101" i="12"/>
  <c r="M102" i="12"/>
  <c r="M103" i="12"/>
  <c r="M104" i="12"/>
  <c r="M105" i="12"/>
  <c r="M106" i="12"/>
  <c r="M107" i="12"/>
  <c r="M108" i="12"/>
  <c r="M109" i="12"/>
  <c r="M113" i="12"/>
  <c r="M114" i="12"/>
  <c r="M115" i="12"/>
  <c r="M116" i="12"/>
  <c r="M117" i="12"/>
  <c r="M118" i="12"/>
  <c r="M119" i="12"/>
  <c r="M120" i="12"/>
  <c r="M121" i="12"/>
  <c r="M122" i="12"/>
  <c r="M123" i="12"/>
  <c r="M124" i="12"/>
  <c r="M125" i="12"/>
  <c r="M126" i="12"/>
  <c r="M127" i="12"/>
  <c r="M128" i="12"/>
  <c r="M129" i="12"/>
  <c r="M130" i="12"/>
  <c r="M131" i="12"/>
  <c r="M132" i="12"/>
  <c r="M133" i="12"/>
  <c r="M134" i="12"/>
  <c r="M135" i="12"/>
  <c r="M136" i="12"/>
  <c r="M137" i="12"/>
  <c r="M138" i="12"/>
  <c r="M139" i="12"/>
  <c r="M140" i="12"/>
  <c r="M141" i="12"/>
  <c r="M142" i="12"/>
  <c r="M143" i="12"/>
  <c r="M144" i="12"/>
  <c r="M145" i="12"/>
  <c r="M146" i="12"/>
  <c r="M147" i="12"/>
  <c r="M148" i="12"/>
  <c r="M149" i="12"/>
  <c r="M150" i="12"/>
  <c r="M151" i="12"/>
  <c r="M152" i="12"/>
  <c r="M153" i="12"/>
  <c r="M154" i="12"/>
  <c r="M155" i="12"/>
  <c r="M156" i="12"/>
  <c r="M157" i="12"/>
  <c r="M158" i="12"/>
  <c r="M159" i="12"/>
  <c r="M160" i="12"/>
  <c r="M161" i="12"/>
  <c r="M162" i="12"/>
  <c r="M163" i="12"/>
  <c r="M164" i="12"/>
  <c r="M165" i="12"/>
  <c r="M166" i="12"/>
  <c r="M167" i="12"/>
  <c r="M168" i="12"/>
  <c r="M169" i="12"/>
  <c r="M170" i="12"/>
  <c r="M171" i="12"/>
  <c r="M172" i="12"/>
  <c r="M173" i="12"/>
  <c r="M174" i="12"/>
  <c r="M175" i="12"/>
  <c r="M176" i="12"/>
  <c r="M177" i="12"/>
  <c r="M178" i="12"/>
  <c r="M179" i="12"/>
  <c r="M180" i="12"/>
  <c r="M181" i="12"/>
  <c r="M182" i="12"/>
  <c r="M183" i="12"/>
  <c r="M184" i="12"/>
  <c r="M185" i="12"/>
  <c r="M186" i="12"/>
  <c r="M187" i="12"/>
  <c r="M188" i="12"/>
  <c r="M189" i="12"/>
  <c r="M190" i="12"/>
  <c r="M191" i="12"/>
  <c r="M192" i="12"/>
  <c r="M193" i="12"/>
  <c r="M194" i="12"/>
  <c r="M195" i="12"/>
  <c r="M196" i="12"/>
  <c r="M197" i="12"/>
  <c r="M198" i="12"/>
  <c r="M199" i="12"/>
  <c r="M200" i="12"/>
  <c r="M201" i="12"/>
  <c r="M202" i="12"/>
  <c r="M203" i="12"/>
  <c r="M204" i="12"/>
  <c r="M205" i="12"/>
  <c r="M206" i="12"/>
  <c r="M207" i="12"/>
  <c r="M208" i="12"/>
  <c r="M209" i="12"/>
  <c r="M210" i="12"/>
  <c r="M211" i="12"/>
  <c r="M212" i="12"/>
  <c r="M213" i="12"/>
  <c r="M214" i="12"/>
  <c r="M215" i="12"/>
  <c r="M216" i="12"/>
  <c r="M217" i="12"/>
  <c r="M218" i="12"/>
  <c r="M219" i="12"/>
  <c r="M220" i="12"/>
  <c r="M221" i="12"/>
  <c r="M222" i="12"/>
  <c r="M223" i="12"/>
  <c r="M224" i="12"/>
  <c r="M225" i="12"/>
  <c r="M226" i="12"/>
  <c r="M227" i="12"/>
  <c r="M228" i="12"/>
  <c r="M229" i="12"/>
  <c r="M230" i="12"/>
  <c r="M231" i="12"/>
  <c r="M232" i="12"/>
  <c r="M233" i="12"/>
  <c r="M234" i="12"/>
  <c r="M235" i="12"/>
  <c r="M236" i="12"/>
  <c r="M237" i="12"/>
  <c r="M238" i="12"/>
  <c r="M239" i="12"/>
  <c r="M240" i="12"/>
  <c r="M241" i="12"/>
  <c r="M242" i="12"/>
  <c r="M243" i="12"/>
  <c r="M244" i="12"/>
  <c r="M245" i="12"/>
  <c r="M246" i="12"/>
  <c r="M247" i="12"/>
  <c r="M248" i="12"/>
  <c r="M249" i="12"/>
  <c r="M250" i="12"/>
  <c r="M251" i="12"/>
  <c r="M252" i="12"/>
  <c r="M253" i="12"/>
  <c r="M254" i="12"/>
  <c r="M255" i="12"/>
  <c r="M256" i="12"/>
  <c r="M257" i="12"/>
  <c r="M258" i="12"/>
  <c r="M259" i="12"/>
  <c r="M260" i="12"/>
  <c r="M261" i="12"/>
  <c r="M262" i="12"/>
  <c r="M263" i="12"/>
  <c r="M264" i="12"/>
  <c r="M265" i="12"/>
  <c r="M266" i="12"/>
  <c r="M267" i="12"/>
  <c r="M268" i="12"/>
  <c r="M269" i="12"/>
  <c r="M270" i="12"/>
  <c r="M271" i="12"/>
  <c r="M272" i="12"/>
  <c r="M273" i="12"/>
  <c r="M274" i="12"/>
  <c r="M275" i="12"/>
  <c r="M276" i="12"/>
  <c r="M277" i="12"/>
  <c r="M278" i="12"/>
  <c r="M279" i="12"/>
  <c r="M280" i="12"/>
  <c r="M281" i="12"/>
  <c r="M282" i="12"/>
  <c r="M283" i="12"/>
  <c r="M284" i="12"/>
  <c r="M285" i="12"/>
  <c r="M286" i="12"/>
  <c r="M287" i="12"/>
  <c r="M288" i="12"/>
  <c r="M289" i="12"/>
  <c r="B323" i="12"/>
  <c r="B324" i="12" s="1"/>
  <c r="B325" i="12" s="1"/>
  <c r="B326" i="12" s="1"/>
  <c r="B321" i="12"/>
  <c r="B320" i="12" s="1"/>
  <c r="B319" i="12" s="1"/>
  <c r="F330" i="12"/>
  <c r="F329" i="12"/>
  <c r="F328" i="12"/>
  <c r="F327" i="12"/>
  <c r="F326" i="12"/>
  <c r="F325" i="12"/>
  <c r="F324" i="12"/>
  <c r="F323" i="12"/>
  <c r="F322" i="12"/>
  <c r="F321" i="12"/>
  <c r="F320" i="12"/>
  <c r="F318" i="12"/>
  <c r="F317" i="12"/>
  <c r="F316" i="12"/>
  <c r="F315" i="12"/>
  <c r="F313" i="12"/>
  <c r="F312" i="12"/>
  <c r="F311" i="12"/>
  <c r="F310" i="12"/>
  <c r="F309" i="12"/>
  <c r="F308" i="12"/>
  <c r="F307" i="12"/>
  <c r="F306" i="12"/>
  <c r="F305" i="12"/>
  <c r="F304" i="12"/>
  <c r="F303" i="12"/>
  <c r="F302" i="12"/>
  <c r="F301" i="12"/>
  <c r="F300" i="12"/>
  <c r="F299" i="12"/>
  <c r="F298" i="12"/>
  <c r="F297" i="12"/>
  <c r="F296" i="12"/>
  <c r="F295" i="12"/>
  <c r="F294" i="12"/>
  <c r="F293" i="12"/>
  <c r="F292" i="12"/>
  <c r="F291" i="12"/>
  <c r="F290" i="12"/>
  <c r="F289" i="12"/>
  <c r="F288" i="12"/>
  <c r="F287" i="12"/>
  <c r="F286" i="12"/>
  <c r="F285" i="12"/>
  <c r="F284" i="12"/>
  <c r="F283" i="12"/>
  <c r="F282" i="12"/>
  <c r="F281" i="12"/>
  <c r="F280" i="12"/>
  <c r="F279" i="12"/>
  <c r="F278" i="12"/>
  <c r="F277" i="12"/>
  <c r="F276" i="12"/>
  <c r="F275" i="12"/>
  <c r="F274" i="12"/>
  <c r="F273" i="12"/>
  <c r="F272" i="12"/>
  <c r="F271" i="12"/>
  <c r="F270" i="12"/>
  <c r="F269" i="12"/>
  <c r="F268" i="12"/>
  <c r="F267" i="12"/>
  <c r="F266" i="12"/>
  <c r="F265" i="12"/>
  <c r="F264" i="12"/>
  <c r="F263" i="12"/>
  <c r="F262" i="12"/>
  <c r="F261" i="12"/>
  <c r="F260" i="12"/>
  <c r="F259" i="12"/>
  <c r="F258" i="12"/>
  <c r="F257" i="12"/>
  <c r="F256" i="12"/>
  <c r="F255" i="12"/>
  <c r="F254" i="12"/>
  <c r="F253" i="12"/>
  <c r="F252" i="12"/>
  <c r="F251" i="12"/>
  <c r="F250" i="12"/>
  <c r="F249" i="12"/>
  <c r="F248" i="12"/>
  <c r="F247" i="12"/>
  <c r="F246" i="12"/>
  <c r="F245" i="12"/>
  <c r="F244" i="12"/>
  <c r="F243" i="12"/>
  <c r="F242" i="12"/>
  <c r="F241" i="12"/>
  <c r="F240" i="12"/>
  <c r="F239" i="12"/>
  <c r="F238" i="12"/>
  <c r="F237" i="12"/>
  <c r="F236" i="12"/>
  <c r="F235" i="12"/>
  <c r="F234" i="12"/>
  <c r="F233" i="12"/>
  <c r="F232" i="12"/>
  <c r="F231" i="12"/>
  <c r="F230" i="12"/>
  <c r="F229" i="12"/>
  <c r="F228" i="12"/>
  <c r="F227" i="12"/>
  <c r="F226" i="12"/>
  <c r="F225" i="12"/>
  <c r="F224" i="12"/>
  <c r="F223" i="12"/>
  <c r="F222" i="12"/>
  <c r="F221" i="12"/>
  <c r="F220" i="12"/>
  <c r="F219" i="12"/>
  <c r="F218" i="12"/>
  <c r="F217" i="12"/>
  <c r="F216" i="12"/>
  <c r="F215" i="12"/>
  <c r="F214" i="12"/>
  <c r="F213" i="12"/>
  <c r="F212" i="12"/>
  <c r="F211" i="12"/>
  <c r="F210" i="12"/>
  <c r="F209" i="12"/>
  <c r="F208" i="12"/>
  <c r="F207" i="12"/>
  <c r="F206" i="12"/>
  <c r="F205" i="12"/>
  <c r="F204" i="12"/>
  <c r="F203" i="12"/>
  <c r="F202" i="12"/>
  <c r="F201" i="12"/>
  <c r="F200" i="12"/>
  <c r="F199" i="12"/>
  <c r="F198" i="12"/>
  <c r="F19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8" i="12"/>
  <c r="F167" i="12"/>
  <c r="F166" i="12"/>
  <c r="F165" i="12"/>
  <c r="F164" i="12"/>
  <c r="F163" i="12"/>
  <c r="F162" i="12"/>
  <c r="F161" i="12"/>
  <c r="F160" i="12"/>
  <c r="F157" i="12"/>
  <c r="F156" i="12"/>
  <c r="F155" i="12"/>
  <c r="F154" i="12"/>
  <c r="F153" i="12"/>
  <c r="F152" i="12"/>
  <c r="F151" i="12"/>
  <c r="F145" i="12"/>
  <c r="F144" i="12"/>
  <c r="F143" i="12"/>
  <c r="F133" i="12"/>
  <c r="F129" i="12"/>
  <c r="F128" i="12"/>
  <c r="F121" i="12"/>
  <c r="F120" i="12"/>
  <c r="F119" i="12"/>
  <c r="F118" i="12"/>
  <c r="F117" i="12"/>
  <c r="F116" i="12"/>
  <c r="F115" i="12"/>
  <c r="F114" i="12"/>
  <c r="F108" i="12"/>
  <c r="F107" i="12"/>
  <c r="F105" i="12"/>
  <c r="F104" i="12"/>
  <c r="F103" i="12"/>
  <c r="F102" i="12"/>
  <c r="F101" i="12"/>
  <c r="F100" i="12"/>
  <c r="F98" i="12"/>
  <c r="F97" i="12"/>
  <c r="F96" i="12"/>
  <c r="F91" i="12"/>
  <c r="F90" i="12"/>
  <c r="F89" i="12"/>
  <c r="F88" i="12"/>
  <c r="F87" i="12"/>
  <c r="F86" i="12"/>
  <c r="F85" i="12"/>
  <c r="F84" i="12"/>
  <c r="E331" i="12"/>
  <c r="E332" i="12" s="1"/>
  <c r="E333" i="12" s="1"/>
  <c r="E334" i="12" s="1"/>
  <c r="F334" i="12" s="1"/>
  <c r="E150" i="12"/>
  <c r="E149" i="12" s="1"/>
  <c r="E148" i="12" s="1"/>
  <c r="E147" i="12" s="1"/>
  <c r="E146" i="12" s="1"/>
  <c r="F146" i="12" s="1"/>
  <c r="E142" i="12"/>
  <c r="E141" i="12" s="1"/>
  <c r="E140" i="12" s="1"/>
  <c r="E139" i="12" s="1"/>
  <c r="E138" i="12" s="1"/>
  <c r="E137" i="12" s="1"/>
  <c r="E136" i="12" s="1"/>
  <c r="E135" i="12" s="1"/>
  <c r="F135" i="12" s="1"/>
  <c r="E134" i="12"/>
  <c r="F134" i="12" s="1"/>
  <c r="E132" i="12"/>
  <c r="F132" i="12" s="1"/>
  <c r="E127" i="12"/>
  <c r="E126" i="12" s="1"/>
  <c r="E125" i="12" s="1"/>
  <c r="E124" i="12" s="1"/>
  <c r="E123" i="12" s="1"/>
  <c r="E122" i="12" s="1"/>
  <c r="E113" i="12"/>
  <c r="E110" i="12"/>
  <c r="E109" i="12" s="1"/>
  <c r="F109" i="12" s="1"/>
  <c r="E93" i="12"/>
  <c r="E92" i="12"/>
  <c r="E83" i="12"/>
  <c r="E82" i="12" s="1"/>
  <c r="E81" i="12" s="1"/>
  <c r="E80" i="12" s="1"/>
  <c r="E79" i="12" s="1"/>
  <c r="E78" i="12" s="1"/>
  <c r="E77" i="12" s="1"/>
  <c r="E76" i="12" s="1"/>
  <c r="E73" i="12"/>
  <c r="E72" i="12" s="1"/>
  <c r="E71" i="12" s="1"/>
  <c r="E70" i="12" s="1"/>
  <c r="E69" i="12" s="1"/>
  <c r="E68" i="12" s="1"/>
  <c r="E67" i="12" s="1"/>
  <c r="E65" i="12"/>
  <c r="E64" i="12" s="1"/>
  <c r="E63" i="12" s="1"/>
  <c r="E62" i="12" s="1"/>
  <c r="E61" i="12" s="1"/>
  <c r="E60" i="12" s="1"/>
  <c r="E59" i="12" s="1"/>
  <c r="E57" i="12"/>
  <c r="E56" i="12" s="1"/>
  <c r="E55" i="12" s="1"/>
  <c r="E54" i="12" s="1"/>
  <c r="E53" i="12" s="1"/>
  <c r="E52" i="12" s="1"/>
  <c r="E51" i="12" s="1"/>
  <c r="E50" i="12" s="1"/>
  <c r="E49" i="12" s="1"/>
  <c r="E48" i="12" s="1"/>
  <c r="E47" i="12" s="1"/>
  <c r="E46" i="12" s="1"/>
  <c r="E45" i="12" s="1"/>
  <c r="E44" i="12" s="1"/>
  <c r="E43" i="12" s="1"/>
  <c r="E42" i="12" s="1"/>
  <c r="E41" i="12" s="1"/>
  <c r="E40" i="12" s="1"/>
  <c r="E39" i="12" s="1"/>
  <c r="E38" i="12" s="1"/>
  <c r="E37" i="12" s="1"/>
  <c r="E36" i="12" s="1"/>
  <c r="E35" i="12" s="1"/>
  <c r="E34" i="12" s="1"/>
  <c r="E33" i="12" s="1"/>
  <c r="E32" i="12" s="1"/>
  <c r="E31" i="12" s="1"/>
  <c r="E30" i="12" s="1"/>
  <c r="E29" i="12" s="1"/>
  <c r="E28" i="12" s="1"/>
  <c r="E27" i="12" s="1"/>
  <c r="E26" i="12" s="1"/>
  <c r="E25" i="12" s="1"/>
  <c r="E24" i="12" s="1"/>
  <c r="E23" i="12" s="1"/>
  <c r="E22" i="12" s="1"/>
  <c r="E21" i="12" s="1"/>
  <c r="E20" i="12" s="1"/>
  <c r="E19" i="12" s="1"/>
  <c r="E18" i="12" s="1"/>
  <c r="E17" i="12" s="1"/>
  <c r="E16" i="12" s="1"/>
  <c r="E15" i="12" s="1"/>
  <c r="E14" i="12" s="1"/>
  <c r="E13" i="12" s="1"/>
  <c r="E12" i="12" s="1"/>
  <c r="E11" i="12" s="1"/>
  <c r="E10" i="12" s="1"/>
  <c r="E9" i="12" s="1"/>
  <c r="E8" i="12" s="1"/>
  <c r="E7" i="12" s="1"/>
  <c r="E6" i="12" s="1"/>
  <c r="E5" i="12" s="1"/>
  <c r="BB18" i="12" s="1"/>
  <c r="D339" i="12"/>
  <c r="F339" i="12" s="1"/>
  <c r="D319" i="12"/>
  <c r="F319" i="12" s="1"/>
  <c r="D314" i="12"/>
  <c r="D112" i="12"/>
  <c r="D111" i="12" s="1"/>
  <c r="M110" i="12" s="1"/>
  <c r="D99" i="12"/>
  <c r="M98" i="12" s="1"/>
  <c r="D95" i="12"/>
  <c r="M94" i="12" s="1"/>
  <c r="D93" i="12"/>
  <c r="D92" i="12" s="1"/>
  <c r="M92" i="12" s="1"/>
  <c r="D81" i="12"/>
  <c r="D80" i="12" s="1"/>
  <c r="D79" i="12" s="1"/>
  <c r="D78" i="12" s="1"/>
  <c r="D77" i="12" s="1"/>
  <c r="D76" i="12" s="1"/>
  <c r="D75" i="12" s="1"/>
  <c r="D74" i="12" s="1"/>
  <c r="D73" i="12" s="1"/>
  <c r="D72" i="12" s="1"/>
  <c r="D71" i="12" s="1"/>
  <c r="D70" i="12" s="1"/>
  <c r="D69" i="12" s="1"/>
  <c r="D68" i="12" s="1"/>
  <c r="M67" i="12" s="1"/>
  <c r="D64" i="12"/>
  <c r="D63" i="12" s="1"/>
  <c r="D62" i="12" s="1"/>
  <c r="D61" i="12" s="1"/>
  <c r="D60" i="12" s="1"/>
  <c r="D59" i="12" s="1"/>
  <c r="C169" i="12"/>
  <c r="C159" i="12"/>
  <c r="C122" i="12"/>
  <c r="C113" i="12"/>
  <c r="P113" i="12" s="1"/>
  <c r="C106" i="12"/>
  <c r="C95" i="12"/>
  <c r="P95" i="12" s="1"/>
  <c r="C81" i="12"/>
  <c r="P81" i="12" s="1"/>
  <c r="C77" i="12"/>
  <c r="C71" i="12"/>
  <c r="C59" i="12"/>
  <c r="C57" i="12"/>
  <c r="X3" i="13" l="1"/>
  <c r="X5" i="13"/>
  <c r="X7" i="13"/>
  <c r="X4" i="13"/>
  <c r="X6" i="13"/>
  <c r="O3" i="13"/>
  <c r="O4" i="13"/>
  <c r="O7" i="13"/>
  <c r="O6" i="13"/>
  <c r="O5" i="13"/>
  <c r="AI21" i="12"/>
  <c r="AI22" i="12"/>
  <c r="AI25" i="12"/>
  <c r="AI35" i="12"/>
  <c r="AI31" i="12"/>
  <c r="AI41" i="12"/>
  <c r="AI37" i="12"/>
  <c r="AI293" i="12"/>
  <c r="AI289" i="12"/>
  <c r="AI285" i="12"/>
  <c r="AI281" i="12"/>
  <c r="AI277" i="12"/>
  <c r="AI273" i="12"/>
  <c r="AI269" i="12"/>
  <c r="AI265" i="12"/>
  <c r="AI261" i="12"/>
  <c r="AI257" i="12"/>
  <c r="AI253" i="12"/>
  <c r="AI249" i="12"/>
  <c r="AI245" i="12"/>
  <c r="AI241" i="12"/>
  <c r="AI237" i="12"/>
  <c r="AI233" i="12"/>
  <c r="AI229" i="12"/>
  <c r="AI225" i="12"/>
  <c r="AI221" i="12"/>
  <c r="AI217" i="12"/>
  <c r="AI213" i="12"/>
  <c r="AI209" i="12"/>
  <c r="AI205" i="12"/>
  <c r="AI201" i="12"/>
  <c r="AI197" i="12"/>
  <c r="AI193" i="12"/>
  <c r="AI189" i="12"/>
  <c r="AI184" i="12"/>
  <c r="AI181" i="12"/>
  <c r="AI177" i="12"/>
  <c r="AI173" i="12"/>
  <c r="AI169" i="12"/>
  <c r="AI165" i="12"/>
  <c r="AI161" i="12"/>
  <c r="AI157" i="12"/>
  <c r="AI153" i="12"/>
  <c r="AI149" i="12"/>
  <c r="AI145" i="12"/>
  <c r="AI141" i="12"/>
  <c r="AI137" i="12"/>
  <c r="AI133" i="12"/>
  <c r="AI129" i="12"/>
  <c r="AI125" i="12"/>
  <c r="AI121" i="12"/>
  <c r="AI117" i="12"/>
  <c r="AI113" i="12"/>
  <c r="AI109" i="12"/>
  <c r="AI105" i="12"/>
  <c r="AI101" i="12"/>
  <c r="AI97" i="12"/>
  <c r="AI93" i="12"/>
  <c r="AI89" i="12"/>
  <c r="AI85" i="12"/>
  <c r="AI81" i="12"/>
  <c r="AI77" i="12"/>
  <c r="AI73" i="12"/>
  <c r="AI69" i="12"/>
  <c r="AI65" i="12"/>
  <c r="AI61" i="12"/>
  <c r="AI57" i="12"/>
  <c r="AI53" i="12"/>
  <c r="AI49" i="12"/>
  <c r="AI45" i="12"/>
  <c r="AI26" i="12"/>
  <c r="AI42" i="12"/>
  <c r="AI286" i="12"/>
  <c r="AI274" i="12"/>
  <c r="AI262" i="12"/>
  <c r="AI250" i="12"/>
  <c r="AI242" i="12"/>
  <c r="AI234" i="12"/>
  <c r="AI222" i="12"/>
  <c r="AI214" i="12"/>
  <c r="AI202" i="12"/>
  <c r="AI20" i="12"/>
  <c r="AI28" i="12"/>
  <c r="AI24" i="12"/>
  <c r="AA24" i="12" s="1"/>
  <c r="AI34" i="12"/>
  <c r="AI30" i="12"/>
  <c r="AI40" i="12"/>
  <c r="AI296" i="12"/>
  <c r="AI292" i="12"/>
  <c r="AI288" i="12"/>
  <c r="AI284" i="12"/>
  <c r="AI280" i="12"/>
  <c r="AA280" i="12" s="1"/>
  <c r="AI276" i="12"/>
  <c r="AI272" i="12"/>
  <c r="AI268" i="12"/>
  <c r="AI264" i="12"/>
  <c r="AI260" i="12"/>
  <c r="AI256" i="12"/>
  <c r="AI252" i="12"/>
  <c r="AI248" i="12"/>
  <c r="AI244" i="12"/>
  <c r="AI240" i="12"/>
  <c r="AI236" i="12"/>
  <c r="AI232" i="12"/>
  <c r="AI228" i="12"/>
  <c r="AI224" i="12"/>
  <c r="AI220" i="12"/>
  <c r="AI216" i="12"/>
  <c r="AI212" i="12"/>
  <c r="AI208" i="12"/>
  <c r="AI204" i="12"/>
  <c r="AI200" i="12"/>
  <c r="AA200" i="12" s="1"/>
  <c r="AI196" i="12"/>
  <c r="AI192" i="12"/>
  <c r="AI188" i="12"/>
  <c r="AI185" i="12"/>
  <c r="AI180" i="12"/>
  <c r="AI176" i="12"/>
  <c r="AI172" i="12"/>
  <c r="AI168" i="12"/>
  <c r="AI164" i="12"/>
  <c r="AI160" i="12"/>
  <c r="AI156" i="12"/>
  <c r="AI152" i="12"/>
  <c r="AI148" i="12"/>
  <c r="AI144" i="12"/>
  <c r="AI140" i="12"/>
  <c r="AI136" i="12"/>
  <c r="AI132" i="12"/>
  <c r="AI128" i="12"/>
  <c r="AI124" i="12"/>
  <c r="AI120" i="12"/>
  <c r="AI116" i="12"/>
  <c r="AI112" i="12"/>
  <c r="AI108" i="12"/>
  <c r="AI104" i="12"/>
  <c r="AI100" i="12"/>
  <c r="AI96" i="12"/>
  <c r="AI92" i="12"/>
  <c r="AI88" i="12"/>
  <c r="AA88" i="12" s="1"/>
  <c r="AI84" i="12"/>
  <c r="AI80" i="12"/>
  <c r="AI76" i="12"/>
  <c r="AI72" i="12"/>
  <c r="AI68" i="12"/>
  <c r="AI64" i="12"/>
  <c r="AI60" i="12"/>
  <c r="AI56" i="12"/>
  <c r="AI52" i="12"/>
  <c r="AI48" i="12"/>
  <c r="AI44" i="12"/>
  <c r="AI29" i="12"/>
  <c r="AI294" i="12"/>
  <c r="AI282" i="12"/>
  <c r="AI266" i="12"/>
  <c r="AI254" i="12"/>
  <c r="AI226" i="12"/>
  <c r="AI206" i="12"/>
  <c r="AI19" i="12"/>
  <c r="AI27" i="12"/>
  <c r="AI23" i="12"/>
  <c r="AI33" i="12"/>
  <c r="AI36" i="12"/>
  <c r="AI39" i="12"/>
  <c r="AI295" i="12"/>
  <c r="AI291" i="12"/>
  <c r="AI287" i="12"/>
  <c r="AI283" i="12"/>
  <c r="AI279" i="12"/>
  <c r="AI275" i="12"/>
  <c r="AI271" i="12"/>
  <c r="AI267" i="12"/>
  <c r="AI263" i="12"/>
  <c r="AI259" i="12"/>
  <c r="AI255" i="12"/>
  <c r="AI251" i="12"/>
  <c r="AI247" i="12"/>
  <c r="AI243" i="12"/>
  <c r="AI239" i="12"/>
  <c r="AI235" i="12"/>
  <c r="AI231" i="12"/>
  <c r="AI227" i="12"/>
  <c r="AI223" i="12"/>
  <c r="AI219" i="12"/>
  <c r="AI215" i="12"/>
  <c r="AI211" i="12"/>
  <c r="AI207" i="12"/>
  <c r="AI203" i="12"/>
  <c r="AI199" i="12"/>
  <c r="AI195" i="12"/>
  <c r="AI191" i="12"/>
  <c r="AI187" i="12"/>
  <c r="AI183" i="12"/>
  <c r="AI179" i="12"/>
  <c r="AI175" i="12"/>
  <c r="AI171" i="12"/>
  <c r="AI167" i="12"/>
  <c r="AI163" i="12"/>
  <c r="AI159" i="12"/>
  <c r="AI155" i="12"/>
  <c r="AI151" i="12"/>
  <c r="AI147" i="12"/>
  <c r="AI143" i="12"/>
  <c r="AI139" i="12"/>
  <c r="AI135" i="12"/>
  <c r="AI131" i="12"/>
  <c r="AI127" i="12"/>
  <c r="AI123" i="12"/>
  <c r="AI119" i="12"/>
  <c r="AI115" i="12"/>
  <c r="AI111" i="12"/>
  <c r="AI107" i="12"/>
  <c r="AI103" i="12"/>
  <c r="AI99" i="12"/>
  <c r="AI95" i="12"/>
  <c r="AI91" i="12"/>
  <c r="AI87" i="12"/>
  <c r="AI83" i="12"/>
  <c r="AI79" i="12"/>
  <c r="AI75" i="12"/>
  <c r="AI71" i="12"/>
  <c r="AI67" i="12"/>
  <c r="AI63" i="12"/>
  <c r="AI59" i="12"/>
  <c r="AI55" i="12"/>
  <c r="AI51" i="12"/>
  <c r="AI47" i="12"/>
  <c r="AI43" i="12"/>
  <c r="AI32" i="12"/>
  <c r="AI38" i="12"/>
  <c r="AI290" i="12"/>
  <c r="AI278" i="12"/>
  <c r="AI270" i="12"/>
  <c r="AI258" i="12"/>
  <c r="AI246" i="12"/>
  <c r="AI238" i="12"/>
  <c r="AI230" i="12"/>
  <c r="AI218" i="12"/>
  <c r="AI210" i="12"/>
  <c r="AI198" i="12"/>
  <c r="AI182" i="12"/>
  <c r="AI166" i="12"/>
  <c r="AI150" i="12"/>
  <c r="AI134" i="12"/>
  <c r="AI118" i="12"/>
  <c r="AI102" i="12"/>
  <c r="AI86" i="12"/>
  <c r="AI70" i="12"/>
  <c r="AI54" i="12"/>
  <c r="AI98" i="12"/>
  <c r="AI66" i="12"/>
  <c r="AI50" i="12"/>
  <c r="AI170" i="12"/>
  <c r="AI122" i="12"/>
  <c r="AI74" i="12"/>
  <c r="AI194" i="12"/>
  <c r="AI178" i="12"/>
  <c r="AI162" i="12"/>
  <c r="AI146" i="12"/>
  <c r="AI130" i="12"/>
  <c r="AI114" i="12"/>
  <c r="AI82" i="12"/>
  <c r="AI138" i="12"/>
  <c r="AI90" i="12"/>
  <c r="AI190" i="12"/>
  <c r="AI174" i="12"/>
  <c r="AI158" i="12"/>
  <c r="AI142" i="12"/>
  <c r="AI126" i="12"/>
  <c r="AI110" i="12"/>
  <c r="AI94" i="12"/>
  <c r="AI78" i="12"/>
  <c r="AI62" i="12"/>
  <c r="AI46" i="12"/>
  <c r="AI186" i="12"/>
  <c r="AI154" i="12"/>
  <c r="AI106" i="12"/>
  <c r="AI58" i="12"/>
  <c r="AA58" i="12" s="1"/>
  <c r="AA264" i="12"/>
  <c r="C56" i="12"/>
  <c r="P57" i="12"/>
  <c r="Q84" i="12"/>
  <c r="N81" i="12"/>
  <c r="P122" i="12"/>
  <c r="P121" i="12"/>
  <c r="P58" i="12"/>
  <c r="Q98" i="12"/>
  <c r="N95" i="12"/>
  <c r="C158" i="12"/>
  <c r="P159" i="12"/>
  <c r="O162" i="12" s="1"/>
  <c r="F314" i="12"/>
  <c r="I314" i="12" s="1"/>
  <c r="M314" i="12"/>
  <c r="M313" i="12"/>
  <c r="V99" i="13"/>
  <c r="X22" i="13"/>
  <c r="E95" i="13"/>
  <c r="E50" i="13"/>
  <c r="G35" i="13" s="1"/>
  <c r="G33" i="13"/>
  <c r="G9" i="13"/>
  <c r="G25" i="13"/>
  <c r="G34" i="13"/>
  <c r="G41" i="13"/>
  <c r="G46" i="13"/>
  <c r="G19" i="13"/>
  <c r="G37" i="13"/>
  <c r="G38" i="13"/>
  <c r="G8" i="13"/>
  <c r="G31" i="13"/>
  <c r="G11" i="13"/>
  <c r="G48" i="13"/>
  <c r="G44" i="13"/>
  <c r="G32" i="13"/>
  <c r="G13" i="13"/>
  <c r="G21" i="13"/>
  <c r="G39" i="13"/>
  <c r="O27" i="13"/>
  <c r="M55" i="13"/>
  <c r="E104" i="13"/>
  <c r="G27" i="13"/>
  <c r="E101" i="13"/>
  <c r="E103" i="13"/>
  <c r="G26" i="13"/>
  <c r="C70" i="12"/>
  <c r="P71" i="12"/>
  <c r="P105" i="12"/>
  <c r="P106" i="12"/>
  <c r="P168" i="12"/>
  <c r="P169" i="12"/>
  <c r="M99" i="13"/>
  <c r="O22" i="13"/>
  <c r="V101" i="13"/>
  <c r="X24" i="13"/>
  <c r="E55" i="13"/>
  <c r="G29" i="13"/>
  <c r="V102" i="13"/>
  <c r="X25" i="13"/>
  <c r="BD18" i="12"/>
  <c r="BH18" i="12" s="1"/>
  <c r="M93" i="13"/>
  <c r="O9" i="13"/>
  <c r="O26" i="13"/>
  <c r="O14" i="13"/>
  <c r="O38" i="13"/>
  <c r="O23" i="13"/>
  <c r="O39" i="13"/>
  <c r="O28" i="13"/>
  <c r="O20" i="13"/>
  <c r="O37" i="13"/>
  <c r="O34" i="13"/>
  <c r="O18" i="13"/>
  <c r="O13" i="13"/>
  <c r="O29" i="13"/>
  <c r="O11" i="13"/>
  <c r="O36" i="13"/>
  <c r="O32" i="13"/>
  <c r="O10" i="13"/>
  <c r="O19" i="13"/>
  <c r="O12" i="13"/>
  <c r="O17" i="13"/>
  <c r="O33" i="13"/>
  <c r="O41" i="13"/>
  <c r="O30" i="13"/>
  <c r="O15" i="13"/>
  <c r="O31" i="13"/>
  <c r="O16" i="13"/>
  <c r="O40" i="13"/>
  <c r="O8" i="13"/>
  <c r="O42" i="13"/>
  <c r="M43" i="13"/>
  <c r="O21" i="13"/>
  <c r="O35" i="13"/>
  <c r="C76" i="12"/>
  <c r="F76" i="12" s="1"/>
  <c r="P77" i="12"/>
  <c r="Q116" i="12"/>
  <c r="N113" i="12"/>
  <c r="D58" i="12"/>
  <c r="F58" i="12" s="1"/>
  <c r="M59" i="12"/>
  <c r="V93" i="13"/>
  <c r="X8" i="13"/>
  <c r="X16" i="13"/>
  <c r="X17" i="13"/>
  <c r="X35" i="13"/>
  <c r="X9" i="13"/>
  <c r="X26" i="13"/>
  <c r="X34" i="13"/>
  <c r="X42" i="13"/>
  <c r="X41" i="13"/>
  <c r="X32" i="13"/>
  <c r="X14" i="13"/>
  <c r="X19" i="13"/>
  <c r="X21" i="13"/>
  <c r="X29" i="13"/>
  <c r="X37" i="13"/>
  <c r="X10" i="13"/>
  <c r="X13" i="13"/>
  <c r="X28" i="13"/>
  <c r="X36" i="13"/>
  <c r="X15" i="13"/>
  <c r="X20" i="13"/>
  <c r="X40" i="13"/>
  <c r="X11" i="13"/>
  <c r="X18" i="13"/>
  <c r="X23" i="13"/>
  <c r="X31" i="13"/>
  <c r="X39" i="13"/>
  <c r="X30" i="13"/>
  <c r="X38" i="13"/>
  <c r="V43" i="13"/>
  <c r="X33" i="13"/>
  <c r="X12" i="13"/>
  <c r="M101" i="13"/>
  <c r="O24" i="13"/>
  <c r="X27" i="13"/>
  <c r="V55" i="13"/>
  <c r="M102" i="13"/>
  <c r="O25" i="13"/>
  <c r="BB7" i="12"/>
  <c r="BD7" i="12" s="1"/>
  <c r="BH7" i="12" s="1"/>
  <c r="O277" i="12"/>
  <c r="O261" i="12"/>
  <c r="O241" i="12"/>
  <c r="O221" i="12"/>
  <c r="O205" i="12"/>
  <c r="O145" i="12"/>
  <c r="O133" i="12"/>
  <c r="N298" i="12"/>
  <c r="I87" i="12"/>
  <c r="AB87" i="12" s="1"/>
  <c r="I188" i="12"/>
  <c r="AB188" i="12" s="1"/>
  <c r="O197" i="12"/>
  <c r="O189" i="12"/>
  <c r="O181" i="12"/>
  <c r="O173" i="12"/>
  <c r="I174" i="12"/>
  <c r="AB174" i="12" s="1"/>
  <c r="I182" i="12"/>
  <c r="AB182" i="12" s="1"/>
  <c r="I190" i="12"/>
  <c r="AB190" i="12" s="1"/>
  <c r="I198" i="12"/>
  <c r="AB198" i="12" s="1"/>
  <c r="I210" i="12"/>
  <c r="AB210" i="12" s="1"/>
  <c r="I218" i="12"/>
  <c r="AB218" i="12" s="1"/>
  <c r="I234" i="12"/>
  <c r="AB234" i="12" s="1"/>
  <c r="I242" i="12"/>
  <c r="AB242" i="12" s="1"/>
  <c r="I246" i="12"/>
  <c r="AB246" i="12" s="1"/>
  <c r="I254" i="12"/>
  <c r="AB254" i="12" s="1"/>
  <c r="I258" i="12"/>
  <c r="AB258" i="12" s="1"/>
  <c r="I262" i="12"/>
  <c r="AB262" i="12" s="1"/>
  <c r="I266" i="12"/>
  <c r="AB266" i="12" s="1"/>
  <c r="I270" i="12"/>
  <c r="AB270" i="12" s="1"/>
  <c r="I274" i="12"/>
  <c r="AB274" i="12" s="1"/>
  <c r="I278" i="12"/>
  <c r="AB278" i="12" s="1"/>
  <c r="I282" i="12"/>
  <c r="AB282" i="12" s="1"/>
  <c r="I286" i="12"/>
  <c r="AB286" i="12" s="1"/>
  <c r="I290" i="12"/>
  <c r="AB290" i="12" s="1"/>
  <c r="I294" i="12"/>
  <c r="AB294" i="12" s="1"/>
  <c r="I298" i="12"/>
  <c r="H295" i="12"/>
  <c r="I302" i="12"/>
  <c r="H299" i="12"/>
  <c r="H303" i="12"/>
  <c r="I306" i="12"/>
  <c r="H307" i="12"/>
  <c r="I310" i="12"/>
  <c r="O292" i="12"/>
  <c r="O288" i="12"/>
  <c r="O284" i="12"/>
  <c r="O280" i="12"/>
  <c r="O276" i="12"/>
  <c r="O272" i="12"/>
  <c r="O268" i="12"/>
  <c r="O264" i="12"/>
  <c r="O260" i="12"/>
  <c r="O256" i="12"/>
  <c r="O252" i="12"/>
  <c r="O248" i="12"/>
  <c r="O244" i="12"/>
  <c r="O240" i="12"/>
  <c r="O236" i="12"/>
  <c r="O232" i="12"/>
  <c r="O228" i="12"/>
  <c r="O224" i="12"/>
  <c r="O220" i="12"/>
  <c r="O216" i="12"/>
  <c r="O212" i="12"/>
  <c r="O208" i="12"/>
  <c r="O204" i="12"/>
  <c r="O200" i="12"/>
  <c r="O196" i="12"/>
  <c r="O192" i="12"/>
  <c r="O188" i="12"/>
  <c r="O184" i="12"/>
  <c r="O180" i="12"/>
  <c r="O176" i="12"/>
  <c r="O148" i="12"/>
  <c r="O144" i="12"/>
  <c r="O140" i="12"/>
  <c r="O136" i="12"/>
  <c r="O132" i="12"/>
  <c r="O128" i="12"/>
  <c r="O98" i="12"/>
  <c r="N297" i="12"/>
  <c r="O298" i="12" s="1"/>
  <c r="Q300" i="12"/>
  <c r="I163" i="12"/>
  <c r="AB163" i="12" s="1"/>
  <c r="I176" i="12"/>
  <c r="AB176" i="12" s="1"/>
  <c r="I184" i="12"/>
  <c r="AB184" i="12" s="1"/>
  <c r="I192" i="12"/>
  <c r="AB192" i="12" s="1"/>
  <c r="I200" i="12"/>
  <c r="AB200" i="12" s="1"/>
  <c r="I204" i="12"/>
  <c r="AB204" i="12" s="1"/>
  <c r="I208" i="12"/>
  <c r="AB208" i="12" s="1"/>
  <c r="I212" i="12"/>
  <c r="AB212" i="12" s="1"/>
  <c r="I216" i="12"/>
  <c r="AB216" i="12" s="1"/>
  <c r="I220" i="12"/>
  <c r="AB220" i="12" s="1"/>
  <c r="I224" i="12"/>
  <c r="AB224" i="12" s="1"/>
  <c r="I228" i="12"/>
  <c r="AB228" i="12" s="1"/>
  <c r="I232" i="12"/>
  <c r="AB232" i="12" s="1"/>
  <c r="I236" i="12"/>
  <c r="AB236" i="12" s="1"/>
  <c r="I88" i="12"/>
  <c r="AB88" i="12" s="1"/>
  <c r="I154" i="12"/>
  <c r="AB154" i="12" s="1"/>
  <c r="I164" i="12"/>
  <c r="AB164" i="12" s="1"/>
  <c r="I173" i="12"/>
  <c r="AB173" i="12" s="1"/>
  <c r="I177" i="12"/>
  <c r="AB177" i="12" s="1"/>
  <c r="I181" i="12"/>
  <c r="AB181" i="12" s="1"/>
  <c r="I185" i="12"/>
  <c r="AB185" i="12" s="1"/>
  <c r="I189" i="12"/>
  <c r="AB189" i="12" s="1"/>
  <c r="I193" i="12"/>
  <c r="AB193" i="12" s="1"/>
  <c r="I197" i="12"/>
  <c r="AB197" i="12" s="1"/>
  <c r="I201" i="12"/>
  <c r="AB201" i="12" s="1"/>
  <c r="I205" i="12"/>
  <c r="AB205" i="12" s="1"/>
  <c r="I209" i="12"/>
  <c r="AB209" i="12" s="1"/>
  <c r="I213" i="12"/>
  <c r="AB213" i="12" s="1"/>
  <c r="I217" i="12"/>
  <c r="AB217" i="12" s="1"/>
  <c r="I221" i="12"/>
  <c r="AB221" i="12" s="1"/>
  <c r="I225" i="12"/>
  <c r="AB225" i="12" s="1"/>
  <c r="I229" i="12"/>
  <c r="AB229" i="12" s="1"/>
  <c r="I233" i="12"/>
  <c r="AB233" i="12" s="1"/>
  <c r="I237" i="12"/>
  <c r="AB237" i="12" s="1"/>
  <c r="I241" i="12"/>
  <c r="AB241" i="12" s="1"/>
  <c r="I245" i="12"/>
  <c r="AB245" i="12" s="1"/>
  <c r="I249" i="12"/>
  <c r="AB249" i="12" s="1"/>
  <c r="I253" i="12"/>
  <c r="AB253" i="12" s="1"/>
  <c r="I257" i="12"/>
  <c r="AB257" i="12" s="1"/>
  <c r="I261" i="12"/>
  <c r="AB261" i="12" s="1"/>
  <c r="I265" i="12"/>
  <c r="AB265" i="12" s="1"/>
  <c r="I269" i="12"/>
  <c r="AB269" i="12" s="1"/>
  <c r="I273" i="12"/>
  <c r="AB273" i="12" s="1"/>
  <c r="I277" i="12"/>
  <c r="AB277" i="12" s="1"/>
  <c r="I281" i="12"/>
  <c r="AB281" i="12" s="1"/>
  <c r="I285" i="12"/>
  <c r="AB285" i="12" s="1"/>
  <c r="I289" i="12"/>
  <c r="AB289" i="12" s="1"/>
  <c r="I293" i="12"/>
  <c r="AB293" i="12" s="1"/>
  <c r="I297" i="12"/>
  <c r="H294" i="12"/>
  <c r="I301" i="12"/>
  <c r="H298" i="12"/>
  <c r="I305" i="12"/>
  <c r="H302" i="12"/>
  <c r="H306" i="12"/>
  <c r="I309" i="12"/>
  <c r="O293" i="12"/>
  <c r="O289" i="12"/>
  <c r="O285" i="12"/>
  <c r="O281" i="12"/>
  <c r="O273" i="12"/>
  <c r="O269" i="12"/>
  <c r="O265" i="12"/>
  <c r="O257" i="12"/>
  <c r="O253" i="12"/>
  <c r="O249" i="12"/>
  <c r="O245" i="12"/>
  <c r="O237" i="12"/>
  <c r="O233" i="12"/>
  <c r="O229" i="12"/>
  <c r="O225" i="12"/>
  <c r="O217" i="12"/>
  <c r="O213" i="12"/>
  <c r="O209" i="12"/>
  <c r="O201" i="12"/>
  <c r="O193" i="12"/>
  <c r="O185" i="12"/>
  <c r="O177" i="12"/>
  <c r="O149" i="12"/>
  <c r="O141" i="12"/>
  <c r="O137" i="12"/>
  <c r="O129" i="12"/>
  <c r="O99" i="12"/>
  <c r="I165" i="12"/>
  <c r="AB165" i="12" s="1"/>
  <c r="I178" i="12"/>
  <c r="AB178" i="12" s="1"/>
  <c r="I186" i="12"/>
  <c r="AB186" i="12" s="1"/>
  <c r="I194" i="12"/>
  <c r="AB194" i="12" s="1"/>
  <c r="I202" i="12"/>
  <c r="AB202" i="12" s="1"/>
  <c r="I206" i="12"/>
  <c r="AB206" i="12" s="1"/>
  <c r="I214" i="12"/>
  <c r="AB214" i="12" s="1"/>
  <c r="I222" i="12"/>
  <c r="AB222" i="12" s="1"/>
  <c r="I226" i="12"/>
  <c r="AB226" i="12" s="1"/>
  <c r="I230" i="12"/>
  <c r="AB230" i="12" s="1"/>
  <c r="I238" i="12"/>
  <c r="AB238" i="12" s="1"/>
  <c r="I250" i="12"/>
  <c r="AB250" i="12" s="1"/>
  <c r="I117" i="12"/>
  <c r="AB117" i="12" s="1"/>
  <c r="I175" i="12"/>
  <c r="AB175" i="12" s="1"/>
  <c r="I179" i="12"/>
  <c r="AB179" i="12" s="1"/>
  <c r="I183" i="12"/>
  <c r="AB183" i="12" s="1"/>
  <c r="I187" i="12"/>
  <c r="AB187" i="12" s="1"/>
  <c r="I191" i="12"/>
  <c r="AB191" i="12" s="1"/>
  <c r="I195" i="12"/>
  <c r="AB195" i="12" s="1"/>
  <c r="I199" i="12"/>
  <c r="AB199" i="12" s="1"/>
  <c r="I203" i="12"/>
  <c r="AB203" i="12" s="1"/>
  <c r="I207" i="12"/>
  <c r="AB207" i="12" s="1"/>
  <c r="I211" i="12"/>
  <c r="AB211" i="12" s="1"/>
  <c r="I215" i="12"/>
  <c r="AB215" i="12" s="1"/>
  <c r="I219" i="12"/>
  <c r="AB219" i="12" s="1"/>
  <c r="I223" i="12"/>
  <c r="AB223" i="12" s="1"/>
  <c r="I227" i="12"/>
  <c r="AB227" i="12" s="1"/>
  <c r="I231" i="12"/>
  <c r="AB231" i="12" s="1"/>
  <c r="I235" i="12"/>
  <c r="AB235" i="12" s="1"/>
  <c r="I239" i="12"/>
  <c r="AB239" i="12" s="1"/>
  <c r="I243" i="12"/>
  <c r="AB243" i="12" s="1"/>
  <c r="I247" i="12"/>
  <c r="AB247" i="12" s="1"/>
  <c r="I251" i="12"/>
  <c r="AB251" i="12" s="1"/>
  <c r="I255" i="12"/>
  <c r="AB255" i="12" s="1"/>
  <c r="I259" i="12"/>
  <c r="AB259" i="12" s="1"/>
  <c r="I263" i="12"/>
  <c r="AB263" i="12" s="1"/>
  <c r="I267" i="12"/>
  <c r="AB267" i="12" s="1"/>
  <c r="I271" i="12"/>
  <c r="AB271" i="12" s="1"/>
  <c r="I275" i="12"/>
  <c r="AB275" i="12" s="1"/>
  <c r="I279" i="12"/>
  <c r="AB279" i="12" s="1"/>
  <c r="I283" i="12"/>
  <c r="AB283" i="12" s="1"/>
  <c r="I287" i="12"/>
  <c r="AB287" i="12" s="1"/>
  <c r="I291" i="12"/>
  <c r="AB291" i="12" s="1"/>
  <c r="I295" i="12"/>
  <c r="AB295" i="12" s="1"/>
  <c r="I299" i="12"/>
  <c r="H296" i="12"/>
  <c r="I303" i="12"/>
  <c r="H300" i="12"/>
  <c r="H304" i="12"/>
  <c r="I307" i="12"/>
  <c r="I311" i="12"/>
  <c r="O291" i="12"/>
  <c r="O287" i="12"/>
  <c r="O283" i="12"/>
  <c r="O279" i="12"/>
  <c r="O275" i="12"/>
  <c r="O271" i="12"/>
  <c r="O267" i="12"/>
  <c r="O263" i="12"/>
  <c r="O259" i="12"/>
  <c r="O255" i="12"/>
  <c r="O251" i="12"/>
  <c r="O247" i="12"/>
  <c r="O243" i="12"/>
  <c r="O239" i="12"/>
  <c r="O235" i="12"/>
  <c r="O231" i="12"/>
  <c r="O227" i="12"/>
  <c r="O223" i="12"/>
  <c r="O219" i="12"/>
  <c r="O215" i="12"/>
  <c r="O211" i="12"/>
  <c r="O207" i="12"/>
  <c r="O203" i="12"/>
  <c r="O199" i="12"/>
  <c r="O195" i="12"/>
  <c r="O191" i="12"/>
  <c r="O187" i="12"/>
  <c r="O183" i="12"/>
  <c r="O179" i="12"/>
  <c r="O175" i="12"/>
  <c r="O171" i="12"/>
  <c r="O151" i="12"/>
  <c r="O147" i="12"/>
  <c r="O143" i="12"/>
  <c r="O139" i="12"/>
  <c r="O135" i="12"/>
  <c r="O131" i="12"/>
  <c r="Q296" i="12"/>
  <c r="N296" i="12"/>
  <c r="O297" i="12" s="1"/>
  <c r="Q299" i="12"/>
  <c r="Q295" i="12"/>
  <c r="N294" i="12"/>
  <c r="O295" i="12" s="1"/>
  <c r="Q293" i="12"/>
  <c r="N295" i="12"/>
  <c r="O296" i="12" s="1"/>
  <c r="Q298" i="12"/>
  <c r="Q294" i="12"/>
  <c r="Q297" i="12"/>
  <c r="I118" i="12"/>
  <c r="AB118" i="12" s="1"/>
  <c r="I180" i="12"/>
  <c r="AB180" i="12" s="1"/>
  <c r="I196" i="12"/>
  <c r="AB196" i="12" s="1"/>
  <c r="I240" i="12"/>
  <c r="AB240" i="12" s="1"/>
  <c r="I244" i="12"/>
  <c r="AB244" i="12" s="1"/>
  <c r="I248" i="12"/>
  <c r="AB248" i="12" s="1"/>
  <c r="I252" i="12"/>
  <c r="AB252" i="12" s="1"/>
  <c r="I256" i="12"/>
  <c r="AB256" i="12" s="1"/>
  <c r="I260" i="12"/>
  <c r="AB260" i="12" s="1"/>
  <c r="I264" i="12"/>
  <c r="AB264" i="12" s="1"/>
  <c r="I268" i="12"/>
  <c r="AB268" i="12" s="1"/>
  <c r="I272" i="12"/>
  <c r="AB272" i="12" s="1"/>
  <c r="I276" i="12"/>
  <c r="AB276" i="12" s="1"/>
  <c r="I280" i="12"/>
  <c r="AB280" i="12" s="1"/>
  <c r="I284" i="12"/>
  <c r="AB284" i="12" s="1"/>
  <c r="I288" i="12"/>
  <c r="AB288" i="12" s="1"/>
  <c r="I292" i="12"/>
  <c r="AB292" i="12" s="1"/>
  <c r="I296" i="12"/>
  <c r="AB296" i="12" s="1"/>
  <c r="I300" i="12"/>
  <c r="H297" i="12"/>
  <c r="I304" i="12"/>
  <c r="H301" i="12"/>
  <c r="H305" i="12"/>
  <c r="I308" i="12"/>
  <c r="I316" i="12"/>
  <c r="O294" i="12"/>
  <c r="O290" i="12"/>
  <c r="O286" i="12"/>
  <c r="O282" i="12"/>
  <c r="O278" i="12"/>
  <c r="O274" i="12"/>
  <c r="O270" i="12"/>
  <c r="O266" i="12"/>
  <c r="O262" i="12"/>
  <c r="O258" i="12"/>
  <c r="O254" i="12"/>
  <c r="O250" i="12"/>
  <c r="O246" i="12"/>
  <c r="O242" i="12"/>
  <c r="O238" i="12"/>
  <c r="O234" i="12"/>
  <c r="O230" i="12"/>
  <c r="O226" i="12"/>
  <c r="O222" i="12"/>
  <c r="O218" i="12"/>
  <c r="O214" i="12"/>
  <c r="O210" i="12"/>
  <c r="O206" i="12"/>
  <c r="O202" i="12"/>
  <c r="O198" i="12"/>
  <c r="O194" i="12"/>
  <c r="O190" i="12"/>
  <c r="O186" i="12"/>
  <c r="O182" i="12"/>
  <c r="O178" i="12"/>
  <c r="O174" i="12"/>
  <c r="O150" i="12"/>
  <c r="O146" i="12"/>
  <c r="O142" i="12"/>
  <c r="O138" i="12"/>
  <c r="O134" i="12"/>
  <c r="O130" i="12"/>
  <c r="N299" i="12"/>
  <c r="H173" i="12"/>
  <c r="H177" i="12"/>
  <c r="H181" i="12"/>
  <c r="AI3" i="12"/>
  <c r="AA37" i="12" s="1"/>
  <c r="AA61" i="12"/>
  <c r="AA149" i="12"/>
  <c r="H267" i="12"/>
  <c r="H241" i="12"/>
  <c r="H84" i="12"/>
  <c r="H193" i="12"/>
  <c r="AG191" i="12" s="1"/>
  <c r="AC191" i="12" s="1"/>
  <c r="H201" i="12"/>
  <c r="H205" i="12"/>
  <c r="H217" i="12"/>
  <c r="AG215" i="12" s="1"/>
  <c r="AC215" i="12" s="1"/>
  <c r="H245" i="12"/>
  <c r="H115" i="12"/>
  <c r="H189" i="12"/>
  <c r="H160" i="12"/>
  <c r="H185" i="12"/>
  <c r="H197" i="12"/>
  <c r="H209" i="12"/>
  <c r="H213" i="12"/>
  <c r="H221" i="12"/>
  <c r="H225" i="12"/>
  <c r="AG223" i="12" s="1"/>
  <c r="AC223" i="12" s="1"/>
  <c r="H229" i="12"/>
  <c r="H233" i="12"/>
  <c r="AG231" i="12" s="1"/>
  <c r="AC231" i="12" s="1"/>
  <c r="H237" i="12"/>
  <c r="H249" i="12"/>
  <c r="H85" i="12"/>
  <c r="H151" i="12"/>
  <c r="H161" i="12"/>
  <c r="H170" i="12"/>
  <c r="H174" i="12"/>
  <c r="H178" i="12"/>
  <c r="AG176" i="12" s="1"/>
  <c r="AC176" i="12" s="1"/>
  <c r="H182" i="12"/>
  <c r="AG180" i="12" s="1"/>
  <c r="AC180" i="12" s="1"/>
  <c r="H186" i="12"/>
  <c r="H190" i="12"/>
  <c r="H194" i="12"/>
  <c r="H198" i="12"/>
  <c r="H202" i="12"/>
  <c r="H206" i="12"/>
  <c r="H210" i="12"/>
  <c r="H214" i="12"/>
  <c r="H218" i="12"/>
  <c r="AG216" i="12" s="1"/>
  <c r="AC216" i="12" s="1"/>
  <c r="H222" i="12"/>
  <c r="H226" i="12"/>
  <c r="H230" i="12"/>
  <c r="H234" i="12"/>
  <c r="H238" i="12"/>
  <c r="H242" i="12"/>
  <c r="H246" i="12"/>
  <c r="H250" i="12"/>
  <c r="AG248" i="12" s="1"/>
  <c r="AC248" i="12" s="1"/>
  <c r="H254" i="12"/>
  <c r="H258" i="12"/>
  <c r="H262" i="12"/>
  <c r="H266" i="12"/>
  <c r="H270" i="12"/>
  <c r="H274" i="12"/>
  <c r="H278" i="12"/>
  <c r="H282" i="12"/>
  <c r="H286" i="12"/>
  <c r="AG284" i="12" s="1"/>
  <c r="AC284" i="12" s="1"/>
  <c r="H290" i="12"/>
  <c r="H271" i="12"/>
  <c r="H275" i="12"/>
  <c r="H279" i="12"/>
  <c r="H283" i="12"/>
  <c r="H287" i="12"/>
  <c r="H291" i="12"/>
  <c r="H253" i="12"/>
  <c r="H257" i="12"/>
  <c r="H261" i="12"/>
  <c r="H265" i="12"/>
  <c r="H269" i="12"/>
  <c r="H273" i="12"/>
  <c r="H277" i="12"/>
  <c r="H281" i="12"/>
  <c r="H285" i="12"/>
  <c r="H289" i="12"/>
  <c r="H293" i="12"/>
  <c r="H162" i="12"/>
  <c r="H171" i="12"/>
  <c r="H175" i="12"/>
  <c r="H179" i="12"/>
  <c r="H183" i="12"/>
  <c r="H187" i="12"/>
  <c r="AG185" i="12" s="1"/>
  <c r="AC185" i="12" s="1"/>
  <c r="H191" i="12"/>
  <c r="H195" i="12"/>
  <c r="H199" i="12"/>
  <c r="H203" i="12"/>
  <c r="AG201" i="12" s="1"/>
  <c r="AC201" i="12" s="1"/>
  <c r="H207" i="12"/>
  <c r="H211" i="12"/>
  <c r="H215" i="12"/>
  <c r="H219" i="12"/>
  <c r="AG217" i="12" s="1"/>
  <c r="AC217" i="12" s="1"/>
  <c r="H223" i="12"/>
  <c r="H227" i="12"/>
  <c r="H231" i="12"/>
  <c r="H235" i="12"/>
  <c r="AG233" i="12" s="1"/>
  <c r="AC233" i="12" s="1"/>
  <c r="H239" i="12"/>
  <c r="H243" i="12"/>
  <c r="H247" i="12"/>
  <c r="H251" i="12"/>
  <c r="AG249" i="12" s="1"/>
  <c r="AC249" i="12" s="1"/>
  <c r="H255" i="12"/>
  <c r="H259" i="12"/>
  <c r="H263" i="12"/>
  <c r="H114" i="12"/>
  <c r="H172" i="12"/>
  <c r="H176" i="12"/>
  <c r="H180" i="12"/>
  <c r="AG178" i="12" s="1"/>
  <c r="AC178" i="12" s="1"/>
  <c r="H184" i="12"/>
  <c r="AG182" i="12" s="1"/>
  <c r="AC182" i="12" s="1"/>
  <c r="H188" i="12"/>
  <c r="H192" i="12"/>
  <c r="H196" i="12"/>
  <c r="H200" i="12"/>
  <c r="AG198" i="12" s="1"/>
  <c r="AC198" i="12" s="1"/>
  <c r="H204" i="12"/>
  <c r="H208" i="12"/>
  <c r="H212" i="12"/>
  <c r="H216" i="12"/>
  <c r="AG214" i="12" s="1"/>
  <c r="AC214" i="12" s="1"/>
  <c r="H220" i="12"/>
  <c r="H224" i="12"/>
  <c r="AG222" i="12" s="1"/>
  <c r="AC222" i="12" s="1"/>
  <c r="H228" i="12"/>
  <c r="H232" i="12"/>
  <c r="AG230" i="12" s="1"/>
  <c r="AC230" i="12" s="1"/>
  <c r="H236" i="12"/>
  <c r="H240" i="12"/>
  <c r="H244" i="12"/>
  <c r="AG242" i="12" s="1"/>
  <c r="AC242" i="12" s="1"/>
  <c r="H248" i="12"/>
  <c r="H252" i="12"/>
  <c r="H256" i="12"/>
  <c r="H260" i="12"/>
  <c r="AG258" i="12" s="1"/>
  <c r="AC258" i="12" s="1"/>
  <c r="H264" i="12"/>
  <c r="H268" i="12"/>
  <c r="H272" i="12"/>
  <c r="H276" i="12"/>
  <c r="AG274" i="12" s="1"/>
  <c r="AC274" i="12" s="1"/>
  <c r="H280" i="12"/>
  <c r="H284" i="12"/>
  <c r="H288" i="12"/>
  <c r="H292" i="12"/>
  <c r="AG290" i="12" s="1"/>
  <c r="AC290" i="12" s="1"/>
  <c r="F138" i="12"/>
  <c r="M76" i="12"/>
  <c r="B318" i="12"/>
  <c r="B317" i="12" s="1"/>
  <c r="B316" i="12" s="1"/>
  <c r="B315" i="12" s="1"/>
  <c r="B314" i="12" s="1"/>
  <c r="B313" i="12" s="1"/>
  <c r="B312" i="12" s="1"/>
  <c r="S49" i="12"/>
  <c r="C47" i="13" s="1"/>
  <c r="C73" i="13" s="1"/>
  <c r="F82" i="12"/>
  <c r="C80" i="12"/>
  <c r="P80" i="12" s="1"/>
  <c r="U15" i="12"/>
  <c r="F110" i="12"/>
  <c r="F142" i="12"/>
  <c r="M112" i="12"/>
  <c r="O127" i="12" s="1"/>
  <c r="M72" i="12"/>
  <c r="M64" i="12"/>
  <c r="C94" i="12"/>
  <c r="U17" i="12"/>
  <c r="U26" i="12"/>
  <c r="F122" i="12"/>
  <c r="I119" i="12" s="1"/>
  <c r="AB119" i="12" s="1"/>
  <c r="F150" i="12"/>
  <c r="M68" i="12"/>
  <c r="M60" i="12"/>
  <c r="E131" i="12"/>
  <c r="E130" i="12" s="1"/>
  <c r="F130" i="12" s="1"/>
  <c r="F78" i="12"/>
  <c r="F126" i="12"/>
  <c r="B327" i="12"/>
  <c r="B328" i="12" s="1"/>
  <c r="B329" i="12" s="1"/>
  <c r="B330" i="12" s="1"/>
  <c r="B331" i="12" s="1"/>
  <c r="B332" i="12" s="1"/>
  <c r="B333" i="12" s="1"/>
  <c r="S50" i="12"/>
  <c r="C48" i="13" s="1"/>
  <c r="C74" i="13" s="1"/>
  <c r="M80" i="12"/>
  <c r="F158" i="12"/>
  <c r="C112" i="12"/>
  <c r="F59" i="12"/>
  <c r="F71" i="12"/>
  <c r="F83" i="12"/>
  <c r="F95" i="12"/>
  <c r="F99" i="12"/>
  <c r="F111" i="12"/>
  <c r="F123" i="12"/>
  <c r="F127" i="12"/>
  <c r="F139" i="12"/>
  <c r="F147" i="12"/>
  <c r="F159" i="12"/>
  <c r="F331" i="12"/>
  <c r="M111" i="12"/>
  <c r="M99" i="12"/>
  <c r="M95" i="12"/>
  <c r="M91" i="12"/>
  <c r="M79" i="12"/>
  <c r="M75" i="12"/>
  <c r="M71" i="12"/>
  <c r="M63" i="12"/>
  <c r="F70" i="12"/>
  <c r="F72" i="12"/>
  <c r="F92" i="12"/>
  <c r="F124" i="12"/>
  <c r="F136" i="12"/>
  <c r="F140" i="12"/>
  <c r="F148" i="12"/>
  <c r="F332" i="12"/>
  <c r="M78" i="12"/>
  <c r="M74" i="12"/>
  <c r="M70" i="12"/>
  <c r="M62" i="12"/>
  <c r="F106" i="12"/>
  <c r="I104" i="12" s="1"/>
  <c r="AB104" i="12" s="1"/>
  <c r="F73" i="12"/>
  <c r="F77" i="12"/>
  <c r="F81" i="12"/>
  <c r="F93" i="12"/>
  <c r="F113" i="12"/>
  <c r="F125" i="12"/>
  <c r="F137" i="12"/>
  <c r="F141" i="12"/>
  <c r="F149" i="12"/>
  <c r="F169" i="12"/>
  <c r="F333" i="12"/>
  <c r="M93" i="12"/>
  <c r="M81" i="12"/>
  <c r="M77" i="12"/>
  <c r="M73" i="12"/>
  <c r="M69" i="12"/>
  <c r="M61" i="12"/>
  <c r="G20" i="13" l="1"/>
  <c r="G12" i="13"/>
  <c r="G42" i="13"/>
  <c r="G10" i="13"/>
  <c r="G22" i="13"/>
  <c r="G17" i="13"/>
  <c r="G30" i="13"/>
  <c r="G16" i="13"/>
  <c r="G45" i="13"/>
  <c r="G24" i="13"/>
  <c r="G28" i="13"/>
  <c r="G40" i="13"/>
  <c r="G49" i="13"/>
  <c r="G14" i="13"/>
  <c r="G18" i="13"/>
  <c r="G15" i="13"/>
  <c r="G43" i="13"/>
  <c r="G23" i="13"/>
  <c r="G47" i="13"/>
  <c r="G3" i="13"/>
  <c r="G6" i="13"/>
  <c r="G5" i="13"/>
  <c r="G50" i="13" s="1"/>
  <c r="G4" i="13"/>
  <c r="G7" i="13"/>
  <c r="G103" i="13"/>
  <c r="AA30" i="12"/>
  <c r="AA125" i="12"/>
  <c r="AG232" i="12"/>
  <c r="AC232" i="12" s="1"/>
  <c r="AA293" i="12"/>
  <c r="AA133" i="12"/>
  <c r="AA260" i="12"/>
  <c r="AA208" i="12"/>
  <c r="AA233" i="12"/>
  <c r="AA252" i="12"/>
  <c r="AA195" i="12"/>
  <c r="AA164" i="12"/>
  <c r="AA221" i="12"/>
  <c r="AA261" i="12"/>
  <c r="AA169" i="12"/>
  <c r="AA188" i="12"/>
  <c r="AA285" i="12"/>
  <c r="AA157" i="12"/>
  <c r="AA146" i="12"/>
  <c r="AA92" i="12"/>
  <c r="AA289" i="12"/>
  <c r="AA225" i="12"/>
  <c r="AA193" i="12"/>
  <c r="AA272" i="12"/>
  <c r="AA96" i="12"/>
  <c r="AA47" i="12"/>
  <c r="AA295" i="12"/>
  <c r="AA38" i="12"/>
  <c r="AA161" i="12"/>
  <c r="AA113" i="12"/>
  <c r="AA84" i="12"/>
  <c r="AA105" i="12"/>
  <c r="I312" i="12"/>
  <c r="AA45" i="12"/>
  <c r="AG289" i="12"/>
  <c r="AC289" i="12" s="1"/>
  <c r="AG273" i="12"/>
  <c r="AC273" i="12" s="1"/>
  <c r="H309" i="12"/>
  <c r="I315" i="12"/>
  <c r="H310" i="12"/>
  <c r="AG292" i="12"/>
  <c r="AC292" i="12" s="1"/>
  <c r="AA55" i="12"/>
  <c r="AA52" i="12"/>
  <c r="AG257" i="12"/>
  <c r="AC257" i="12" s="1"/>
  <c r="AG241" i="12"/>
  <c r="AC241" i="12" s="1"/>
  <c r="AG225" i="12"/>
  <c r="AC225" i="12" s="1"/>
  <c r="H308" i="12"/>
  <c r="I313" i="12"/>
  <c r="AA31" i="12"/>
  <c r="AA39" i="12"/>
  <c r="AA49" i="12"/>
  <c r="AA32" i="12"/>
  <c r="AA40" i="12"/>
  <c r="AA46" i="12"/>
  <c r="AA54" i="12"/>
  <c r="AA33" i="12"/>
  <c r="AA42" i="12"/>
  <c r="AA51" i="12"/>
  <c r="AA34" i="12"/>
  <c r="AA41" i="12"/>
  <c r="AA48" i="12"/>
  <c r="AA35" i="12"/>
  <c r="AA44" i="12"/>
  <c r="AA53" i="12"/>
  <c r="AA36" i="12"/>
  <c r="AA43" i="12"/>
  <c r="AA50" i="12"/>
  <c r="G36" i="13"/>
  <c r="G101" i="13"/>
  <c r="AA177" i="12"/>
  <c r="AA173" i="12"/>
  <c r="AA178" i="12"/>
  <c r="AA174" i="12"/>
  <c r="AA181" i="12"/>
  <c r="AA248" i="12"/>
  <c r="AA56" i="12"/>
  <c r="AA241" i="12"/>
  <c r="AA129" i="12"/>
  <c r="AA65" i="12"/>
  <c r="AA276" i="12"/>
  <c r="AA212" i="12"/>
  <c r="AA100" i="12"/>
  <c r="AA245" i="12"/>
  <c r="AA291" i="12"/>
  <c r="AA72" i="12"/>
  <c r="O102" i="13"/>
  <c r="Q172" i="12"/>
  <c r="N169" i="12"/>
  <c r="O170" i="12" s="1"/>
  <c r="O101" i="13"/>
  <c r="O43" i="13"/>
  <c r="O103" i="13"/>
  <c r="O94" i="13"/>
  <c r="O88" i="13"/>
  <c r="O87" i="13"/>
  <c r="O90" i="13"/>
  <c r="O100" i="13"/>
  <c r="O98" i="13"/>
  <c r="M104" i="13"/>
  <c r="O92" i="13"/>
  <c r="O91" i="13"/>
  <c r="O85" i="13"/>
  <c r="O93" i="13"/>
  <c r="O96" i="13"/>
  <c r="O95" i="13"/>
  <c r="O89" i="13"/>
  <c r="O86" i="13"/>
  <c r="O84" i="13"/>
  <c r="O97" i="13"/>
  <c r="X102" i="13"/>
  <c r="X101" i="13"/>
  <c r="Q171" i="12"/>
  <c r="N165" i="12"/>
  <c r="Q168" i="12"/>
  <c r="N164" i="12"/>
  <c r="O165" i="12" s="1"/>
  <c r="N167" i="12"/>
  <c r="O168" i="12" s="1"/>
  <c r="Q166" i="12"/>
  <c r="N168" i="12"/>
  <c r="N162" i="12"/>
  <c r="O163" i="12" s="1"/>
  <c r="Q169" i="12"/>
  <c r="Q167" i="12"/>
  <c r="Q170" i="12"/>
  <c r="Q165" i="12"/>
  <c r="N166" i="12"/>
  <c r="O167" i="12" s="1"/>
  <c r="N163" i="12"/>
  <c r="O164" i="12" s="1"/>
  <c r="C69" i="12"/>
  <c r="P70" i="12"/>
  <c r="P158" i="12"/>
  <c r="P157" i="12"/>
  <c r="N80" i="12"/>
  <c r="Q83" i="12"/>
  <c r="Q162" i="12"/>
  <c r="N159" i="12"/>
  <c r="P93" i="12"/>
  <c r="P94" i="12"/>
  <c r="O166" i="12"/>
  <c r="X55" i="13"/>
  <c r="X70" i="13"/>
  <c r="X66" i="13"/>
  <c r="V71" i="13"/>
  <c r="X61" i="13"/>
  <c r="X64" i="13"/>
  <c r="X58" i="13"/>
  <c r="X67" i="13"/>
  <c r="X62" i="13"/>
  <c r="X57" i="13"/>
  <c r="X56" i="13"/>
  <c r="X59" i="13"/>
  <c r="X69" i="13"/>
  <c r="X63" i="13"/>
  <c r="X68" i="13"/>
  <c r="X60" i="13"/>
  <c r="X65" i="13"/>
  <c r="D57" i="12"/>
  <c r="M58" i="12"/>
  <c r="C75" i="12"/>
  <c r="P76" i="12"/>
  <c r="N104" i="12"/>
  <c r="O105" i="12" s="1"/>
  <c r="G86" i="13"/>
  <c r="G90" i="13"/>
  <c r="G87" i="13"/>
  <c r="G88" i="13"/>
  <c r="G84" i="13"/>
  <c r="G89" i="13"/>
  <c r="G98" i="13"/>
  <c r="G99" i="13"/>
  <c r="G97" i="13"/>
  <c r="G94" i="13"/>
  <c r="G91" i="13"/>
  <c r="G92" i="13"/>
  <c r="G100" i="13"/>
  <c r="E106" i="13"/>
  <c r="G105" i="13"/>
  <c r="G93" i="13"/>
  <c r="G95" i="13"/>
  <c r="G96" i="13"/>
  <c r="G85" i="13"/>
  <c r="G102" i="13"/>
  <c r="Q124" i="12"/>
  <c r="Q123" i="12"/>
  <c r="N121" i="12"/>
  <c r="Q120" i="12"/>
  <c r="Q119" i="12"/>
  <c r="N119" i="12"/>
  <c r="N117" i="12"/>
  <c r="O118" i="12" s="1"/>
  <c r="Q118" i="12"/>
  <c r="N116" i="12"/>
  <c r="O117" i="12" s="1"/>
  <c r="Q122" i="12"/>
  <c r="N118" i="12"/>
  <c r="O119" i="12" s="1"/>
  <c r="N115" i="12"/>
  <c r="O116" i="12" s="1"/>
  <c r="Q121" i="12"/>
  <c r="X98" i="13"/>
  <c r="X94" i="13"/>
  <c r="X93" i="13"/>
  <c r="X86" i="13"/>
  <c r="X96" i="13"/>
  <c r="X91" i="13"/>
  <c r="X89" i="13"/>
  <c r="X87" i="13"/>
  <c r="X100" i="13"/>
  <c r="X97" i="13"/>
  <c r="X90" i="13"/>
  <c r="X84" i="13"/>
  <c r="X95" i="13"/>
  <c r="X92" i="13"/>
  <c r="X103" i="13"/>
  <c r="X85" i="13"/>
  <c r="X88" i="13"/>
  <c r="V104" i="13"/>
  <c r="O55" i="13"/>
  <c r="O57" i="13"/>
  <c r="O59" i="13"/>
  <c r="O67" i="13"/>
  <c r="O64" i="13"/>
  <c r="O60" i="13"/>
  <c r="O61" i="13"/>
  <c r="O56" i="13"/>
  <c r="O70" i="13"/>
  <c r="O65" i="13"/>
  <c r="O68" i="13"/>
  <c r="O62" i="13"/>
  <c r="O69" i="13"/>
  <c r="O63" i="13"/>
  <c r="M71" i="13"/>
  <c r="O58" i="13"/>
  <c r="O66" i="13"/>
  <c r="X99" i="13"/>
  <c r="F80" i="12"/>
  <c r="I83" i="12" s="1"/>
  <c r="AB83" i="12" s="1"/>
  <c r="P112" i="12"/>
  <c r="P111" i="12"/>
  <c r="N105" i="12" s="1"/>
  <c r="O106" i="12" s="1"/>
  <c r="O169" i="12"/>
  <c r="O172" i="12"/>
  <c r="X43" i="13"/>
  <c r="G55" i="13"/>
  <c r="G66" i="13"/>
  <c r="G74" i="13"/>
  <c r="G64" i="13"/>
  <c r="G63" i="13"/>
  <c r="E76" i="13"/>
  <c r="G62" i="13"/>
  <c r="G61" i="13"/>
  <c r="G71" i="13"/>
  <c r="G58" i="13"/>
  <c r="G65" i="13"/>
  <c r="G75" i="13"/>
  <c r="G70" i="13"/>
  <c r="G73" i="13"/>
  <c r="G68" i="13"/>
  <c r="G67" i="13"/>
  <c r="G56" i="13"/>
  <c r="G60" i="13"/>
  <c r="G59" i="13"/>
  <c r="G57" i="13"/>
  <c r="G69" i="13"/>
  <c r="G72" i="13"/>
  <c r="O99" i="13"/>
  <c r="Q108" i="12"/>
  <c r="Q107" i="12"/>
  <c r="Q105" i="12"/>
  <c r="N101" i="12"/>
  <c r="O102" i="12" s="1"/>
  <c r="Q103" i="12"/>
  <c r="Q102" i="12"/>
  <c r="N100" i="12"/>
  <c r="O101" i="12" s="1"/>
  <c r="Q104" i="12"/>
  <c r="Q106" i="12"/>
  <c r="N102" i="12"/>
  <c r="N99" i="12"/>
  <c r="O100" i="12" s="1"/>
  <c r="N103" i="12"/>
  <c r="O104" i="12" s="1"/>
  <c r="G104" i="13"/>
  <c r="N120" i="12"/>
  <c r="O121" i="12" s="1"/>
  <c r="Q125" i="12"/>
  <c r="N122" i="12"/>
  <c r="P56" i="12"/>
  <c r="C55" i="12"/>
  <c r="AA156" i="12"/>
  <c r="AA170" i="12"/>
  <c r="AA159" i="12"/>
  <c r="AG203" i="12"/>
  <c r="AC203" i="12" s="1"/>
  <c r="AG200" i="12"/>
  <c r="AC200" i="12" s="1"/>
  <c r="AG199" i="12"/>
  <c r="AC199" i="12" s="1"/>
  <c r="AA160" i="12"/>
  <c r="AA118" i="12"/>
  <c r="AA162" i="12"/>
  <c r="AA119" i="12"/>
  <c r="AA194" i="12"/>
  <c r="AA277" i="12"/>
  <c r="AA69" i="12"/>
  <c r="AA168" i="12"/>
  <c r="AA273" i="12"/>
  <c r="AA209" i="12"/>
  <c r="AA97" i="12"/>
  <c r="AA287" i="12"/>
  <c r="AA244" i="12"/>
  <c r="AA148" i="12"/>
  <c r="AA68" i="12"/>
  <c r="AA101" i="12"/>
  <c r="AA216" i="12"/>
  <c r="AA269" i="12"/>
  <c r="AA205" i="12"/>
  <c r="AA109" i="12"/>
  <c r="AA20" i="12"/>
  <c r="AA256" i="12"/>
  <c r="AA144" i="12"/>
  <c r="AA80" i="12"/>
  <c r="AA213" i="12"/>
  <c r="AA232" i="12"/>
  <c r="AA281" i="12"/>
  <c r="AA217" i="12"/>
  <c r="AA153" i="12"/>
  <c r="AA89" i="12"/>
  <c r="AA279" i="12"/>
  <c r="AA236" i="12"/>
  <c r="AA140" i="12"/>
  <c r="AA76" i="12"/>
  <c r="AA74" i="12"/>
  <c r="AA218" i="12"/>
  <c r="AA26" i="12"/>
  <c r="AA83" i="12"/>
  <c r="AA123" i="12"/>
  <c r="AA155" i="12"/>
  <c r="AA211" i="12"/>
  <c r="AA243" i="12"/>
  <c r="AA275" i="12"/>
  <c r="AA106" i="12"/>
  <c r="AA210" i="12"/>
  <c r="AA21" i="12"/>
  <c r="AA78" i="12"/>
  <c r="AA110" i="12"/>
  <c r="AA150" i="12"/>
  <c r="AA206" i="12"/>
  <c r="AA238" i="12"/>
  <c r="AA270" i="12"/>
  <c r="AA90" i="12"/>
  <c r="AA250" i="12"/>
  <c r="AA63" i="12"/>
  <c r="AA95" i="12"/>
  <c r="AA135" i="12"/>
  <c r="AA199" i="12"/>
  <c r="AA231" i="12"/>
  <c r="AA263" i="12"/>
  <c r="AA196" i="12"/>
  <c r="AA176" i="12"/>
  <c r="AA120" i="12"/>
  <c r="AA183" i="12"/>
  <c r="AG296" i="12"/>
  <c r="AC296" i="12" s="1"/>
  <c r="W46" i="12" s="1"/>
  <c r="N42" i="13" s="1"/>
  <c r="N70" i="13" s="1"/>
  <c r="AG283" i="12"/>
  <c r="AC283" i="12" s="1"/>
  <c r="AG267" i="12"/>
  <c r="AC267" i="12" s="1"/>
  <c r="AG251" i="12"/>
  <c r="AC251" i="12" s="1"/>
  <c r="AG204" i="12"/>
  <c r="AC204" i="12" s="1"/>
  <c r="AG187" i="12"/>
  <c r="AC187" i="12" s="1"/>
  <c r="AG171" i="12"/>
  <c r="AC171" i="12" s="1"/>
  <c r="AG279" i="12"/>
  <c r="AC279" i="12" s="1"/>
  <c r="AG263" i="12"/>
  <c r="AC263" i="12" s="1"/>
  <c r="AG247" i="12"/>
  <c r="AC247" i="12" s="1"/>
  <c r="O126" i="12"/>
  <c r="AG174" i="12"/>
  <c r="AC174" i="12" s="1"/>
  <c r="AG228" i="12"/>
  <c r="AC228" i="12" s="1"/>
  <c r="AG196" i="12"/>
  <c r="AC196" i="12" s="1"/>
  <c r="AG235" i="12"/>
  <c r="AC235" i="12" s="1"/>
  <c r="AG219" i="12"/>
  <c r="AC219" i="12" s="1"/>
  <c r="AG183" i="12"/>
  <c r="AC183" i="12" s="1"/>
  <c r="AA182" i="12"/>
  <c r="AA175" i="12"/>
  <c r="AA192" i="12"/>
  <c r="AA115" i="12"/>
  <c r="AA158" i="12"/>
  <c r="AA229" i="12"/>
  <c r="AA296" i="12"/>
  <c r="AA104" i="12"/>
  <c r="AA257" i="12"/>
  <c r="AA145" i="12"/>
  <c r="AA81" i="12"/>
  <c r="AA292" i="12"/>
  <c r="AA228" i="12"/>
  <c r="AA132" i="12"/>
  <c r="AA27" i="12"/>
  <c r="AA85" i="12"/>
  <c r="AA152" i="12"/>
  <c r="AA253" i="12"/>
  <c r="AA189" i="12"/>
  <c r="AA93" i="12"/>
  <c r="AA283" i="12"/>
  <c r="AA240" i="12"/>
  <c r="AA128" i="12"/>
  <c r="AA64" i="12"/>
  <c r="AA165" i="12"/>
  <c r="AA184" i="12"/>
  <c r="AA265" i="12"/>
  <c r="AA201" i="12"/>
  <c r="AA137" i="12"/>
  <c r="AA73" i="12"/>
  <c r="AA284" i="12"/>
  <c r="AA220" i="12"/>
  <c r="AA124" i="12"/>
  <c r="AA60" i="12"/>
  <c r="AA98" i="12"/>
  <c r="AA242" i="12"/>
  <c r="AA59" i="12"/>
  <c r="AA91" i="12"/>
  <c r="AA131" i="12"/>
  <c r="AA163" i="12"/>
  <c r="AA219" i="12"/>
  <c r="AA251" i="12"/>
  <c r="AA290" i="12"/>
  <c r="AA130" i="12"/>
  <c r="AA234" i="12"/>
  <c r="AA29" i="12"/>
  <c r="AA86" i="12"/>
  <c r="AA126" i="12"/>
  <c r="AA166" i="12"/>
  <c r="AA214" i="12"/>
  <c r="AA246" i="12"/>
  <c r="AA278" i="12"/>
  <c r="AA138" i="12"/>
  <c r="AA274" i="12"/>
  <c r="AA71" i="12"/>
  <c r="AA103" i="12"/>
  <c r="AA143" i="12"/>
  <c r="AA207" i="12"/>
  <c r="AA239" i="12"/>
  <c r="AA271" i="12"/>
  <c r="AA114" i="12"/>
  <c r="AA117" i="12"/>
  <c r="AA191" i="12"/>
  <c r="AG287" i="12"/>
  <c r="AC287" i="12" s="1"/>
  <c r="AA237" i="12"/>
  <c r="AA141" i="12"/>
  <c r="AA77" i="12"/>
  <c r="AA288" i="12"/>
  <c r="AA224" i="12"/>
  <c r="AA112" i="12"/>
  <c r="AA23" i="12"/>
  <c r="AA28" i="12"/>
  <c r="AA136" i="12"/>
  <c r="AA249" i="12"/>
  <c r="AA185" i="12"/>
  <c r="AA121" i="12"/>
  <c r="AA57" i="12"/>
  <c r="AA268" i="12"/>
  <c r="AA204" i="12"/>
  <c r="AA108" i="12"/>
  <c r="AA122" i="12"/>
  <c r="AA266" i="12"/>
  <c r="AA67" i="12"/>
  <c r="AA99" i="12"/>
  <c r="AA139" i="12"/>
  <c r="AA187" i="12"/>
  <c r="AA227" i="12"/>
  <c r="AA259" i="12"/>
  <c r="AA25" i="12"/>
  <c r="AA154" i="12"/>
  <c r="AA258" i="12"/>
  <c r="AA62" i="12"/>
  <c r="AA94" i="12"/>
  <c r="AA134" i="12"/>
  <c r="AA190" i="12"/>
  <c r="AA222" i="12"/>
  <c r="AA254" i="12"/>
  <c r="AA294" i="12"/>
  <c r="AA186" i="12"/>
  <c r="AA22" i="12"/>
  <c r="AA79" i="12"/>
  <c r="AA111" i="12"/>
  <c r="AA151" i="12"/>
  <c r="AA215" i="12"/>
  <c r="AA247" i="12"/>
  <c r="AA282" i="12"/>
  <c r="AA197" i="12"/>
  <c r="AA172" i="12"/>
  <c r="AG268" i="12"/>
  <c r="AC268" i="12" s="1"/>
  <c r="AG252" i="12"/>
  <c r="AC252" i="12" s="1"/>
  <c r="AG207" i="12"/>
  <c r="AC207" i="12" s="1"/>
  <c r="AA75" i="12"/>
  <c r="AA107" i="12"/>
  <c r="AA147" i="12"/>
  <c r="AA203" i="12"/>
  <c r="AA235" i="12"/>
  <c r="AA267" i="12"/>
  <c r="AA82" i="12"/>
  <c r="AA202" i="12"/>
  <c r="AA286" i="12"/>
  <c r="AA70" i="12"/>
  <c r="AA102" i="12"/>
  <c r="AA142" i="12"/>
  <c r="AA198" i="12"/>
  <c r="AA230" i="12"/>
  <c r="AA262" i="12"/>
  <c r="AA66" i="12"/>
  <c r="AA226" i="12"/>
  <c r="AA87" i="12"/>
  <c r="AA127" i="12"/>
  <c r="AA167" i="12"/>
  <c r="AA223" i="12"/>
  <c r="AA255" i="12"/>
  <c r="AA179" i="12"/>
  <c r="AA171" i="12"/>
  <c r="AA180" i="12"/>
  <c r="AA116" i="12"/>
  <c r="AG291" i="12"/>
  <c r="AC291" i="12" s="1"/>
  <c r="AG275" i="12"/>
  <c r="AC275" i="12" s="1"/>
  <c r="AG256" i="12"/>
  <c r="AC256" i="12" s="1"/>
  <c r="AG262" i="12"/>
  <c r="AC262" i="12" s="1"/>
  <c r="AG246" i="12"/>
  <c r="AC246" i="12" s="1"/>
  <c r="AG220" i="12"/>
  <c r="AC220" i="12" s="1"/>
  <c r="AG270" i="12"/>
  <c r="AC270" i="12" s="1"/>
  <c r="AG254" i="12"/>
  <c r="AC254" i="12" s="1"/>
  <c r="AG206" i="12"/>
  <c r="AC206" i="12" s="1"/>
  <c r="AG190" i="12"/>
  <c r="AC190" i="12" s="1"/>
  <c r="AG209" i="12"/>
  <c r="AC209" i="12" s="1"/>
  <c r="AG193" i="12"/>
  <c r="AC193" i="12" s="1"/>
  <c r="AG177" i="12"/>
  <c r="AC177" i="12" s="1"/>
  <c r="AG259" i="12"/>
  <c r="AC259" i="12" s="1"/>
  <c r="AG285" i="12"/>
  <c r="AC285" i="12" s="1"/>
  <c r="AG269" i="12"/>
  <c r="AC269" i="12" s="1"/>
  <c r="AG276" i="12"/>
  <c r="AC276" i="12" s="1"/>
  <c r="AG260" i="12"/>
  <c r="AC260" i="12" s="1"/>
  <c r="AG282" i="12"/>
  <c r="AC282" i="12" s="1"/>
  <c r="AG266" i="12"/>
  <c r="AC266" i="12" s="1"/>
  <c r="AG250" i="12"/>
  <c r="AC250" i="12" s="1"/>
  <c r="AG234" i="12"/>
  <c r="AC234" i="12" s="1"/>
  <c r="AG218" i="12"/>
  <c r="AC218" i="12" s="1"/>
  <c r="AG202" i="12"/>
  <c r="AC202" i="12" s="1"/>
  <c r="AG186" i="12"/>
  <c r="AC186" i="12" s="1"/>
  <c r="AG253" i="12"/>
  <c r="AC253" i="12" s="1"/>
  <c r="AG237" i="12"/>
  <c r="AC237" i="12" s="1"/>
  <c r="AG221" i="12"/>
  <c r="AC221" i="12" s="1"/>
  <c r="AG205" i="12"/>
  <c r="AC205" i="12" s="1"/>
  <c r="AG189" i="12"/>
  <c r="AC189" i="12" s="1"/>
  <c r="AG173" i="12"/>
  <c r="AC173" i="12" s="1"/>
  <c r="AG271" i="12"/>
  <c r="AC271" i="12" s="1"/>
  <c r="AG255" i="12"/>
  <c r="AC255" i="12" s="1"/>
  <c r="AG281" i="12"/>
  <c r="AC281" i="12" s="1"/>
  <c r="AG288" i="12"/>
  <c r="AC288" i="12" s="1"/>
  <c r="AG272" i="12"/>
  <c r="AC272" i="12" s="1"/>
  <c r="AG240" i="12"/>
  <c r="AC240" i="12" s="1"/>
  <c r="AG224" i="12"/>
  <c r="AC224" i="12" s="1"/>
  <c r="AG208" i="12"/>
  <c r="AC208" i="12" s="1"/>
  <c r="AG192" i="12"/>
  <c r="AC192" i="12" s="1"/>
  <c r="AG211" i="12"/>
  <c r="AC211" i="12" s="1"/>
  <c r="AG265" i="12"/>
  <c r="AC265" i="12" s="1"/>
  <c r="AG175" i="12"/>
  <c r="AC175" i="12" s="1"/>
  <c r="AG286" i="12"/>
  <c r="AC286" i="12" s="1"/>
  <c r="AG238" i="12"/>
  <c r="AC238" i="12" s="1"/>
  <c r="AG188" i="12"/>
  <c r="AC188" i="12" s="1"/>
  <c r="AG239" i="12"/>
  <c r="AC239" i="12" s="1"/>
  <c r="AG295" i="12"/>
  <c r="AC295" i="12" s="1"/>
  <c r="I140" i="12"/>
  <c r="AB140" i="12" s="1"/>
  <c r="I142" i="12"/>
  <c r="AB142" i="12" s="1"/>
  <c r="O87" i="12"/>
  <c r="I98" i="12"/>
  <c r="AB98" i="12" s="1"/>
  <c r="O124" i="12"/>
  <c r="I85" i="12"/>
  <c r="AB85" i="12" s="1"/>
  <c r="AG278" i="12"/>
  <c r="AC278" i="12" s="1"/>
  <c r="AG277" i="12"/>
  <c r="AC277" i="12" s="1"/>
  <c r="AG236" i="12"/>
  <c r="AC236" i="12" s="1"/>
  <c r="AG227" i="12"/>
  <c r="AC227" i="12" s="1"/>
  <c r="I157" i="12"/>
  <c r="AB157" i="12" s="1"/>
  <c r="I170" i="12"/>
  <c r="AB170" i="12" s="1"/>
  <c r="I103" i="12"/>
  <c r="AB103" i="12" s="1"/>
  <c r="I155" i="12"/>
  <c r="AB155" i="12" s="1"/>
  <c r="O103" i="12"/>
  <c r="I168" i="12"/>
  <c r="AB168" i="12" s="1"/>
  <c r="I136" i="12"/>
  <c r="AB136" i="12" s="1"/>
  <c r="I123" i="12"/>
  <c r="AB123" i="12" s="1"/>
  <c r="I105" i="12"/>
  <c r="AB105" i="12" s="1"/>
  <c r="AG293" i="12"/>
  <c r="AC293" i="12" s="1"/>
  <c r="I84" i="12"/>
  <c r="AB84" i="12" s="1"/>
  <c r="I139" i="12"/>
  <c r="AB139" i="12" s="1"/>
  <c r="H98" i="12"/>
  <c r="I102" i="12"/>
  <c r="AB102" i="12" s="1"/>
  <c r="H167" i="12"/>
  <c r="I172" i="12"/>
  <c r="AB172" i="12" s="1"/>
  <c r="I127" i="12"/>
  <c r="AB127" i="12" s="1"/>
  <c r="I161" i="12"/>
  <c r="AB161" i="12" s="1"/>
  <c r="O83" i="12"/>
  <c r="I99" i="12"/>
  <c r="AB99" i="12" s="1"/>
  <c r="I166" i="12"/>
  <c r="AB166" i="12" s="1"/>
  <c r="I100" i="12"/>
  <c r="AB100" i="12" s="1"/>
  <c r="I159" i="12"/>
  <c r="AB159" i="12" s="1"/>
  <c r="I101" i="12"/>
  <c r="AB101" i="12" s="1"/>
  <c r="I167" i="12"/>
  <c r="AB167" i="12" s="1"/>
  <c r="H149" i="12"/>
  <c r="I152" i="12"/>
  <c r="AB152" i="12" s="1"/>
  <c r="H113" i="12"/>
  <c r="I116" i="12"/>
  <c r="AB116" i="12" s="1"/>
  <c r="O85" i="12"/>
  <c r="I151" i="12"/>
  <c r="AB151" i="12" s="1"/>
  <c r="H86" i="12"/>
  <c r="O86" i="12"/>
  <c r="H159" i="12"/>
  <c r="I162" i="12"/>
  <c r="AB162" i="12" s="1"/>
  <c r="I126" i="12"/>
  <c r="AB126" i="12" s="1"/>
  <c r="H83" i="12"/>
  <c r="I86" i="12"/>
  <c r="AB86" i="12" s="1"/>
  <c r="H150" i="12"/>
  <c r="I153" i="12"/>
  <c r="AB153" i="12" s="1"/>
  <c r="I145" i="12"/>
  <c r="AB145" i="12" s="1"/>
  <c r="I141" i="12"/>
  <c r="AB141" i="12" s="1"/>
  <c r="AG172" i="12"/>
  <c r="AC172" i="12" s="1"/>
  <c r="O84" i="12"/>
  <c r="I144" i="12"/>
  <c r="AB144" i="12" s="1"/>
  <c r="I143" i="12"/>
  <c r="AB143" i="12" s="1"/>
  <c r="I150" i="12"/>
  <c r="AB150" i="12" s="1"/>
  <c r="I125" i="12"/>
  <c r="AB125" i="12" s="1"/>
  <c r="AG226" i="12"/>
  <c r="AC226" i="12" s="1"/>
  <c r="AG210" i="12"/>
  <c r="AC210" i="12" s="1"/>
  <c r="AG194" i="12"/>
  <c r="AC194" i="12" s="1"/>
  <c r="AG261" i="12"/>
  <c r="AC261" i="12" s="1"/>
  <c r="AG245" i="12"/>
  <c r="AC245" i="12" s="1"/>
  <c r="AG229" i="12"/>
  <c r="AC229" i="12" s="1"/>
  <c r="AG213" i="12"/>
  <c r="AC213" i="12" s="1"/>
  <c r="AG197" i="12"/>
  <c r="AC197" i="12" s="1"/>
  <c r="AG181" i="12"/>
  <c r="AC181" i="12" s="1"/>
  <c r="AG280" i="12"/>
  <c r="AC280" i="12" s="1"/>
  <c r="AG264" i="12"/>
  <c r="AC264" i="12" s="1"/>
  <c r="AG184" i="12"/>
  <c r="AC184" i="12" s="1"/>
  <c r="AG168" i="12"/>
  <c r="AC168" i="12" s="1"/>
  <c r="AG195" i="12"/>
  <c r="AC195" i="12" s="1"/>
  <c r="O123" i="12"/>
  <c r="I137" i="12"/>
  <c r="AB137" i="12" s="1"/>
  <c r="AG294" i="12"/>
  <c r="AC294" i="12" s="1"/>
  <c r="I156" i="12"/>
  <c r="AB156" i="12" s="1"/>
  <c r="I147" i="12"/>
  <c r="AB147" i="12" s="1"/>
  <c r="I107" i="12"/>
  <c r="AB107" i="12" s="1"/>
  <c r="I135" i="12"/>
  <c r="AB135" i="12" s="1"/>
  <c r="I169" i="12"/>
  <c r="AB169" i="12" s="1"/>
  <c r="I120" i="12"/>
  <c r="AB120" i="12" s="1"/>
  <c r="I106" i="12"/>
  <c r="AB106" i="12" s="1"/>
  <c r="O125" i="12"/>
  <c r="I138" i="12"/>
  <c r="AB138" i="12" s="1"/>
  <c r="AG244" i="12"/>
  <c r="AC244" i="12" s="1"/>
  <c r="AG212" i="12"/>
  <c r="AC212" i="12" s="1"/>
  <c r="AG159" i="12"/>
  <c r="AC159" i="12" s="1"/>
  <c r="AG243" i="12"/>
  <c r="AC243" i="12" s="1"/>
  <c r="AG179" i="12"/>
  <c r="AC179" i="12" s="1"/>
  <c r="I171" i="12"/>
  <c r="AB171" i="12" s="1"/>
  <c r="O120" i="12"/>
  <c r="I160" i="12"/>
  <c r="AB160" i="12" s="1"/>
  <c r="I121" i="12"/>
  <c r="AB121" i="12" s="1"/>
  <c r="I90" i="12"/>
  <c r="AB90" i="12" s="1"/>
  <c r="I124" i="12"/>
  <c r="AB124" i="12" s="1"/>
  <c r="I89" i="12"/>
  <c r="AB89" i="12" s="1"/>
  <c r="O122" i="12"/>
  <c r="I158" i="12"/>
  <c r="AB158" i="12" s="1"/>
  <c r="I108" i="12"/>
  <c r="AB108" i="12" s="1"/>
  <c r="I146" i="12"/>
  <c r="AB146" i="12" s="1"/>
  <c r="I149" i="12"/>
  <c r="AB149" i="12" s="1"/>
  <c r="I148" i="12"/>
  <c r="AB148" i="12" s="1"/>
  <c r="I122" i="12"/>
  <c r="AB122" i="12" s="1"/>
  <c r="H97" i="12"/>
  <c r="H119" i="12"/>
  <c r="AG117" i="12" s="1"/>
  <c r="AC117" i="12" s="1"/>
  <c r="H137" i="12"/>
  <c r="H81" i="12"/>
  <c r="H148" i="12"/>
  <c r="H158" i="12"/>
  <c r="H140" i="12"/>
  <c r="AG138" i="12" s="1"/>
  <c r="AC138" i="12" s="1"/>
  <c r="H118" i="12"/>
  <c r="AG116" i="12" s="1"/>
  <c r="AC116" i="12" s="1"/>
  <c r="H139" i="12"/>
  <c r="H99" i="12"/>
  <c r="H142" i="12"/>
  <c r="H82" i="12"/>
  <c r="H138" i="12"/>
  <c r="AG136" i="12" s="1"/>
  <c r="AC136" i="12" s="1"/>
  <c r="H153" i="12"/>
  <c r="H87" i="12"/>
  <c r="AG85" i="12" s="1"/>
  <c r="AC85" i="12" s="1"/>
  <c r="H156" i="12"/>
  <c r="H117" i="12"/>
  <c r="AG115" i="12" s="1"/>
  <c r="H155" i="12"/>
  <c r="H116" i="12"/>
  <c r="H147" i="12"/>
  <c r="H145" i="12"/>
  <c r="H136" i="12"/>
  <c r="H95" i="12"/>
  <c r="H144" i="12"/>
  <c r="AG142" i="12" s="1"/>
  <c r="AC142" i="12" s="1"/>
  <c r="H104" i="12"/>
  <c r="AG102" i="12" s="1"/>
  <c r="AC102" i="12" s="1"/>
  <c r="H132" i="12"/>
  <c r="H152" i="12"/>
  <c r="H96" i="12"/>
  <c r="H157" i="12"/>
  <c r="H121" i="12"/>
  <c r="H120" i="12"/>
  <c r="AG118" i="12" s="1"/>
  <c r="AC118" i="12" s="1"/>
  <c r="H134" i="12"/>
  <c r="H154" i="12"/>
  <c r="AG152" i="12" s="1"/>
  <c r="AC152" i="12" s="1"/>
  <c r="H169" i="12"/>
  <c r="H141" i="12"/>
  <c r="AG139" i="12" s="1"/>
  <c r="AC139" i="12" s="1"/>
  <c r="H124" i="12"/>
  <c r="H123" i="12"/>
  <c r="H122" i="12"/>
  <c r="H163" i="12"/>
  <c r="AG161" i="12" s="1"/>
  <c r="AC161" i="12" s="1"/>
  <c r="H100" i="12"/>
  <c r="H166" i="12"/>
  <c r="H143" i="12"/>
  <c r="H103" i="12"/>
  <c r="H146" i="12"/>
  <c r="H165" i="12"/>
  <c r="AG163" i="12" s="1"/>
  <c r="AC163" i="12" s="1"/>
  <c r="H133" i="12"/>
  <c r="H102" i="12"/>
  <c r="AG100" i="12" s="1"/>
  <c r="AC100" i="12" s="1"/>
  <c r="H135" i="12"/>
  <c r="H101" i="12"/>
  <c r="H164" i="12"/>
  <c r="AG162" i="12" s="1"/>
  <c r="AC162" i="12" s="1"/>
  <c r="H105" i="12"/>
  <c r="H168" i="12"/>
  <c r="F131" i="12"/>
  <c r="I131" i="12" s="1"/>
  <c r="AB131" i="12" s="1"/>
  <c r="C79" i="12"/>
  <c r="F94" i="12"/>
  <c r="I95" i="12" s="1"/>
  <c r="AB95" i="12" s="1"/>
  <c r="B334" i="12"/>
  <c r="B335" i="12" s="1"/>
  <c r="B336" i="12" s="1"/>
  <c r="B337" i="12" s="1"/>
  <c r="B338" i="12" s="1"/>
  <c r="B339" i="12" s="1"/>
  <c r="B340" i="12" s="1"/>
  <c r="S51" i="12"/>
  <c r="C49" i="13" s="1"/>
  <c r="C75" i="13" s="1"/>
  <c r="B311" i="12"/>
  <c r="B310" i="12" s="1"/>
  <c r="B309" i="12" s="1"/>
  <c r="B308" i="12" s="1"/>
  <c r="B307" i="12" s="1"/>
  <c r="B306" i="12" s="1"/>
  <c r="B305" i="12" s="1"/>
  <c r="S48" i="12"/>
  <c r="C46" i="13" s="1"/>
  <c r="C72" i="13" s="1"/>
  <c r="F112" i="12"/>
  <c r="AG97" i="12" l="1"/>
  <c r="AG145" i="12"/>
  <c r="AC145" i="12" s="1"/>
  <c r="O71" i="13"/>
  <c r="D56" i="12"/>
  <c r="M57" i="12"/>
  <c r="F57" i="12"/>
  <c r="Q97" i="12"/>
  <c r="N94" i="12"/>
  <c r="O97" i="12"/>
  <c r="N156" i="12"/>
  <c r="O157" i="12" s="1"/>
  <c r="Q161" i="12"/>
  <c r="N158" i="12"/>
  <c r="O159" i="12" s="1"/>
  <c r="O161" i="12"/>
  <c r="P79" i="12"/>
  <c r="P78" i="12"/>
  <c r="AG82" i="12"/>
  <c r="W32" i="12"/>
  <c r="N28" i="13" s="1"/>
  <c r="N56" i="13" s="1"/>
  <c r="C54" i="12"/>
  <c r="P55" i="12"/>
  <c r="Q114" i="12"/>
  <c r="N109" i="12"/>
  <c r="O110" i="12" s="1"/>
  <c r="Q112" i="12"/>
  <c r="N110" i="12"/>
  <c r="O111" i="12" s="1"/>
  <c r="N107" i="12"/>
  <c r="O108" i="12" s="1"/>
  <c r="Q111" i="12"/>
  <c r="N108" i="12"/>
  <c r="O109" i="12" s="1"/>
  <c r="N111" i="12"/>
  <c r="O112" i="12" s="1"/>
  <c r="Q110" i="12"/>
  <c r="Q113" i="12"/>
  <c r="X71" i="13"/>
  <c r="Q96" i="12"/>
  <c r="Q94" i="12"/>
  <c r="Q91" i="12"/>
  <c r="N93" i="12"/>
  <c r="O94" i="12" s="1"/>
  <c r="N91" i="12"/>
  <c r="O92" i="12" s="1"/>
  <c r="Q90" i="12"/>
  <c r="N90" i="12"/>
  <c r="O91" i="12" s="1"/>
  <c r="N92" i="12"/>
  <c r="O93" i="12" s="1"/>
  <c r="Q95" i="12"/>
  <c r="Q93" i="12"/>
  <c r="N87" i="12"/>
  <c r="O88" i="12" s="1"/>
  <c r="Q92" i="12"/>
  <c r="N89" i="12"/>
  <c r="O90" i="12" s="1"/>
  <c r="N88" i="12"/>
  <c r="O89" i="12" s="1"/>
  <c r="O104" i="13"/>
  <c r="AG101" i="12"/>
  <c r="AC101" i="12" s="1"/>
  <c r="H80" i="12"/>
  <c r="O95" i="12"/>
  <c r="Q115" i="12"/>
  <c r="N112" i="12"/>
  <c r="O113" i="12" s="1"/>
  <c r="O115" i="12"/>
  <c r="N106" i="12"/>
  <c r="O107" i="12" s="1"/>
  <c r="C74" i="12"/>
  <c r="P75" i="12"/>
  <c r="F75" i="12"/>
  <c r="O96" i="12"/>
  <c r="C68" i="12"/>
  <c r="P69" i="12"/>
  <c r="F69" i="12"/>
  <c r="X104" i="13"/>
  <c r="AG134" i="12"/>
  <c r="AC134" i="12" s="1"/>
  <c r="G76" i="13"/>
  <c r="O114" i="12"/>
  <c r="G106" i="13"/>
  <c r="Q109" i="12"/>
  <c r="Q160" i="12"/>
  <c r="N157" i="12"/>
  <c r="O158" i="12" s="1"/>
  <c r="Q159" i="12"/>
  <c r="N153" i="12"/>
  <c r="Q156" i="12"/>
  <c r="N155" i="12"/>
  <c r="O156" i="12" s="1"/>
  <c r="Q157" i="12"/>
  <c r="Q158" i="12"/>
  <c r="N151" i="12"/>
  <c r="O152" i="12" s="1"/>
  <c r="Q154" i="12"/>
  <c r="Q155" i="12"/>
  <c r="N152" i="12"/>
  <c r="O153" i="12" s="1"/>
  <c r="N154" i="12"/>
  <c r="O155" i="12" s="1"/>
  <c r="O154" i="12"/>
  <c r="O160" i="12"/>
  <c r="AG122" i="12"/>
  <c r="AC122" i="12" s="1"/>
  <c r="W42" i="12"/>
  <c r="N38" i="13" s="1"/>
  <c r="N66" i="13" s="1"/>
  <c r="AG114" i="12"/>
  <c r="W41" i="12"/>
  <c r="N37" i="13" s="1"/>
  <c r="N65" i="13" s="1"/>
  <c r="W37" i="12"/>
  <c r="N33" i="13" s="1"/>
  <c r="N61" i="13" s="1"/>
  <c r="W31" i="12"/>
  <c r="N27" i="13" s="1"/>
  <c r="N55" i="13" s="1"/>
  <c r="W35" i="12"/>
  <c r="N31" i="13" s="1"/>
  <c r="N59" i="13" s="1"/>
  <c r="AG157" i="12"/>
  <c r="AC157" i="12" s="1"/>
  <c r="W45" i="12"/>
  <c r="N41" i="13" s="1"/>
  <c r="N69" i="13" s="1"/>
  <c r="W39" i="12"/>
  <c r="N35" i="13" s="1"/>
  <c r="N63" i="13" s="1"/>
  <c r="W43" i="12"/>
  <c r="N39" i="13" s="1"/>
  <c r="I94" i="12"/>
  <c r="AB94" i="12" s="1"/>
  <c r="AG158" i="12"/>
  <c r="AC158" i="12" s="1"/>
  <c r="W29" i="12"/>
  <c r="N25" i="13" s="1"/>
  <c r="AG155" i="12"/>
  <c r="AC155" i="12" s="1"/>
  <c r="AG140" i="12"/>
  <c r="AC140" i="12" s="1"/>
  <c r="W34" i="12"/>
  <c r="N30" i="13" s="1"/>
  <c r="AG160" i="12"/>
  <c r="AC160" i="12" s="1"/>
  <c r="W38" i="12"/>
  <c r="N34" i="13" s="1"/>
  <c r="W33" i="12"/>
  <c r="N29" i="13" s="1"/>
  <c r="W40" i="12"/>
  <c r="N36" i="13" s="1"/>
  <c r="W44" i="12"/>
  <c r="N40" i="13" s="1"/>
  <c r="AG141" i="12"/>
  <c r="AC141" i="12" s="1"/>
  <c r="AG153" i="12"/>
  <c r="AC153" i="12" s="1"/>
  <c r="AG146" i="12"/>
  <c r="AC146" i="12" s="1"/>
  <c r="W30" i="12"/>
  <c r="N26" i="13" s="1"/>
  <c r="W36" i="12"/>
  <c r="N32" i="13" s="1"/>
  <c r="AG96" i="12"/>
  <c r="AC96" i="12" s="1"/>
  <c r="I92" i="12"/>
  <c r="AB92" i="12" s="1"/>
  <c r="AG147" i="12"/>
  <c r="AC147" i="12" s="1"/>
  <c r="AG119" i="12"/>
  <c r="AC119" i="12" s="1"/>
  <c r="AG137" i="12"/>
  <c r="AC137" i="12" s="1"/>
  <c r="I129" i="12"/>
  <c r="AB129" i="12" s="1"/>
  <c r="AG170" i="12"/>
  <c r="AC170" i="12" s="1"/>
  <c r="W28" i="12" s="1"/>
  <c r="N24" i="13" s="1"/>
  <c r="AG150" i="12"/>
  <c r="AC150" i="12" s="1"/>
  <c r="AG103" i="12"/>
  <c r="AC103" i="12" s="1"/>
  <c r="I91" i="12"/>
  <c r="AB91" i="12" s="1"/>
  <c r="I111" i="12"/>
  <c r="AB111" i="12" s="1"/>
  <c r="I113" i="12"/>
  <c r="AB113" i="12" s="1"/>
  <c r="I133" i="12"/>
  <c r="AB133" i="12" s="1"/>
  <c r="AG149" i="12"/>
  <c r="AC149" i="12" s="1"/>
  <c r="I130" i="12"/>
  <c r="AB130" i="12" s="1"/>
  <c r="AG83" i="12"/>
  <c r="AC83" i="12" s="1"/>
  <c r="H110" i="12"/>
  <c r="AC115" i="12"/>
  <c r="I115" i="12"/>
  <c r="I114" i="12"/>
  <c r="AG84" i="12"/>
  <c r="AC84" i="12" s="1"/>
  <c r="I109" i="12"/>
  <c r="AB109" i="12" s="1"/>
  <c r="H125" i="12"/>
  <c r="AG123" i="12" s="1"/>
  <c r="AC123" i="12" s="1"/>
  <c r="I134" i="12"/>
  <c r="AB134" i="12" s="1"/>
  <c r="I132" i="12"/>
  <c r="AB132" i="12" s="1"/>
  <c r="AG131" i="12"/>
  <c r="AC131" i="12" s="1"/>
  <c r="AG120" i="12"/>
  <c r="AC120" i="12" s="1"/>
  <c r="AG151" i="12"/>
  <c r="AC151" i="12" s="1"/>
  <c r="I110" i="12"/>
  <c r="AB110" i="12" s="1"/>
  <c r="AG165" i="12"/>
  <c r="AC165" i="12" s="1"/>
  <c r="I112" i="12"/>
  <c r="AB112" i="12" s="1"/>
  <c r="AG169" i="12"/>
  <c r="AC169" i="12" s="1"/>
  <c r="I128" i="12"/>
  <c r="AB128" i="12" s="1"/>
  <c r="H92" i="12"/>
  <c r="AG90" i="12" s="1"/>
  <c r="AC90" i="12" s="1"/>
  <c r="AC97" i="12"/>
  <c r="I97" i="12"/>
  <c r="AB97" i="12" s="1"/>
  <c r="I93" i="12"/>
  <c r="AB93" i="12" s="1"/>
  <c r="AG99" i="12"/>
  <c r="AC99" i="12" s="1"/>
  <c r="AG164" i="12"/>
  <c r="AC164" i="12" s="1"/>
  <c r="AG121" i="12"/>
  <c r="AC121" i="12" s="1"/>
  <c r="AG143" i="12"/>
  <c r="AC143" i="12" s="1"/>
  <c r="AG166" i="12"/>
  <c r="AC166" i="12" s="1"/>
  <c r="AG133" i="12"/>
  <c r="AC133" i="12" s="1"/>
  <c r="AG144" i="12"/>
  <c r="AC144" i="12" s="1"/>
  <c r="AG98" i="12"/>
  <c r="AC98" i="12" s="1"/>
  <c r="AG167" i="12"/>
  <c r="AC167" i="12" s="1"/>
  <c r="AG93" i="12"/>
  <c r="AC93" i="12" s="1"/>
  <c r="AG154" i="12"/>
  <c r="AC154" i="12" s="1"/>
  <c r="AG156" i="12"/>
  <c r="AC156" i="12" s="1"/>
  <c r="AG135" i="12"/>
  <c r="AC135" i="12" s="1"/>
  <c r="AC114" i="12"/>
  <c r="I96" i="12"/>
  <c r="AB96" i="12" s="1"/>
  <c r="AG148" i="12"/>
  <c r="AC148" i="12" s="1"/>
  <c r="AG81" i="12"/>
  <c r="H89" i="12"/>
  <c r="AG87" i="12" s="1"/>
  <c r="AC87" i="12" s="1"/>
  <c r="H107" i="12"/>
  <c r="AG105" i="12" s="1"/>
  <c r="AC105" i="12" s="1"/>
  <c r="H126" i="12"/>
  <c r="AG124" i="12" s="1"/>
  <c r="AC124" i="12" s="1"/>
  <c r="H128" i="12"/>
  <c r="H106" i="12"/>
  <c r="AG104" i="12" s="1"/>
  <c r="AC104" i="12" s="1"/>
  <c r="H108" i="12"/>
  <c r="AG106" i="12" s="1"/>
  <c r="AC106" i="12" s="1"/>
  <c r="H94" i="12"/>
  <c r="H93" i="12"/>
  <c r="H112" i="12"/>
  <c r="AG110" i="12" s="1"/>
  <c r="AC110" i="12" s="1"/>
  <c r="H131" i="12"/>
  <c r="AG129" i="12" s="1"/>
  <c r="AC129" i="12" s="1"/>
  <c r="H91" i="12"/>
  <c r="H111" i="12"/>
  <c r="H129" i="12"/>
  <c r="H130" i="12"/>
  <c r="H127" i="12"/>
  <c r="AG125" i="12" s="1"/>
  <c r="AC125" i="12" s="1"/>
  <c r="H88" i="12"/>
  <c r="AG86" i="12" s="1"/>
  <c r="AC86" i="12" s="1"/>
  <c r="H90" i="12"/>
  <c r="AG88" i="12" s="1"/>
  <c r="AC88" i="12" s="1"/>
  <c r="H109" i="12"/>
  <c r="F79" i="12"/>
  <c r="B304" i="12"/>
  <c r="B303" i="12" s="1"/>
  <c r="B302" i="12" s="1"/>
  <c r="B301" i="12" s="1"/>
  <c r="B300" i="12" s="1"/>
  <c r="B299" i="12" s="1"/>
  <c r="B298" i="12" s="1"/>
  <c r="S47" i="12"/>
  <c r="C45" i="13" s="1"/>
  <c r="C71" i="13" s="1"/>
  <c r="B341" i="12"/>
  <c r="B342" i="12" s="1"/>
  <c r="B343" i="12" s="1"/>
  <c r="B344" i="12" s="1"/>
  <c r="B345" i="12" s="1"/>
  <c r="B346" i="12" s="1"/>
  <c r="B347" i="12" s="1"/>
  <c r="S52" i="12"/>
  <c r="AG107" i="12" l="1"/>
  <c r="AC107" i="12" s="1"/>
  <c r="AG127" i="12"/>
  <c r="AC127" i="12" s="1"/>
  <c r="P74" i="12"/>
  <c r="P73" i="12"/>
  <c r="Q72" i="12" s="1"/>
  <c r="U14" i="12"/>
  <c r="F74" i="12"/>
  <c r="I72" i="12" s="1"/>
  <c r="AB72" i="12" s="1"/>
  <c r="Q82" i="12"/>
  <c r="N79" i="12"/>
  <c r="O82" i="12"/>
  <c r="N76" i="12"/>
  <c r="C67" i="12"/>
  <c r="P68" i="12"/>
  <c r="F68" i="12"/>
  <c r="AG92" i="12"/>
  <c r="AC92" i="12" s="1"/>
  <c r="H69" i="12"/>
  <c r="Q79" i="12"/>
  <c r="M56" i="12"/>
  <c r="D55" i="12"/>
  <c r="F56" i="12"/>
  <c r="AG109" i="12"/>
  <c r="AC109" i="12" s="1"/>
  <c r="Q78" i="12"/>
  <c r="N75" i="12"/>
  <c r="C53" i="12"/>
  <c r="U11" i="12" s="1"/>
  <c r="P54" i="12"/>
  <c r="Q81" i="12"/>
  <c r="N78" i="12"/>
  <c r="O79" i="12" s="1"/>
  <c r="N77" i="12"/>
  <c r="O78" i="12" s="1"/>
  <c r="O81" i="12"/>
  <c r="O80" i="12"/>
  <c r="Q80" i="12"/>
  <c r="W23" i="12"/>
  <c r="N19" i="13" s="1"/>
  <c r="N96" i="13" s="1"/>
  <c r="W26" i="12"/>
  <c r="N22" i="13" s="1"/>
  <c r="N99" i="13" s="1"/>
  <c r="W20" i="12"/>
  <c r="N16" i="13" s="1"/>
  <c r="N93" i="13" s="1"/>
  <c r="W27" i="12"/>
  <c r="N23" i="13" s="1"/>
  <c r="N100" i="13" s="1"/>
  <c r="W18" i="12"/>
  <c r="N14" i="13" s="1"/>
  <c r="N91" i="13" s="1"/>
  <c r="W24" i="12"/>
  <c r="N20" i="13" s="1"/>
  <c r="N97" i="13" s="1"/>
  <c r="N103" i="13"/>
  <c r="N67" i="13"/>
  <c r="AG95" i="12"/>
  <c r="AC95" i="12" s="1"/>
  <c r="W25" i="12"/>
  <c r="N21" i="13" s="1"/>
  <c r="N68" i="13"/>
  <c r="N102" i="13"/>
  <c r="N101" i="13"/>
  <c r="N64" i="13"/>
  <c r="N58" i="13"/>
  <c r="N62" i="13"/>
  <c r="AG89" i="12"/>
  <c r="AC89" i="12" s="1"/>
  <c r="N60" i="13"/>
  <c r="N57" i="13"/>
  <c r="AG108" i="12"/>
  <c r="AC108" i="12" s="1"/>
  <c r="AG126" i="12"/>
  <c r="AC126" i="12" s="1"/>
  <c r="W21" i="12" s="1"/>
  <c r="N17" i="13" s="1"/>
  <c r="AG111" i="12"/>
  <c r="AC111" i="12" s="1"/>
  <c r="AG130" i="12"/>
  <c r="AC130" i="12" s="1"/>
  <c r="AG94" i="12"/>
  <c r="AC94" i="12" s="1"/>
  <c r="AB114" i="12"/>
  <c r="AG112" i="12"/>
  <c r="AC112" i="12" s="1"/>
  <c r="AB115" i="12"/>
  <c r="AG113" i="12"/>
  <c r="AC113" i="12" s="1"/>
  <c r="AG128" i="12"/>
  <c r="AC128" i="12" s="1"/>
  <c r="AG91" i="12"/>
  <c r="AC91" i="12" s="1"/>
  <c r="I82" i="12"/>
  <c r="AC82" i="12"/>
  <c r="I77" i="12"/>
  <c r="AB77" i="12" s="1"/>
  <c r="I80" i="12"/>
  <c r="I76" i="12"/>
  <c r="AB76" i="12" s="1"/>
  <c r="AC81" i="12"/>
  <c r="I81" i="12"/>
  <c r="I78" i="12"/>
  <c r="AB78" i="12" s="1"/>
  <c r="I79" i="12"/>
  <c r="AB79" i="12" s="1"/>
  <c r="AG132" i="12"/>
  <c r="AC132" i="12" s="1"/>
  <c r="H79" i="12"/>
  <c r="H78" i="12"/>
  <c r="AG76" i="12" s="1"/>
  <c r="AC76" i="12" s="1"/>
  <c r="H73" i="12"/>
  <c r="H75" i="12"/>
  <c r="H76" i="12"/>
  <c r="H74" i="12"/>
  <c r="H77" i="12"/>
  <c r="B348" i="12"/>
  <c r="B349" i="12" s="1"/>
  <c r="B350" i="12" s="1"/>
  <c r="B351" i="12" s="1"/>
  <c r="S53" i="12"/>
  <c r="B297" i="12"/>
  <c r="AF296" i="12"/>
  <c r="Z296" i="12" s="1"/>
  <c r="S46" i="12"/>
  <c r="N69" i="12" l="1"/>
  <c r="Q71" i="12"/>
  <c r="N68" i="12"/>
  <c r="C52" i="12"/>
  <c r="P53" i="12"/>
  <c r="D54" i="12"/>
  <c r="M55" i="12"/>
  <c r="F55" i="12"/>
  <c r="P67" i="12"/>
  <c r="C66" i="12"/>
  <c r="F67" i="12"/>
  <c r="U13" i="12"/>
  <c r="Q76" i="12"/>
  <c r="N72" i="12"/>
  <c r="O73" i="12" s="1"/>
  <c r="Q75" i="12"/>
  <c r="N73" i="12"/>
  <c r="O74" i="12" s="1"/>
  <c r="N71" i="12"/>
  <c r="O72" i="12" s="1"/>
  <c r="Q74" i="12"/>
  <c r="O76" i="12"/>
  <c r="Q73" i="12"/>
  <c r="N70" i="12"/>
  <c r="W17" i="12"/>
  <c r="N13" i="13" s="1"/>
  <c r="N90" i="13" s="1"/>
  <c r="Q77" i="12"/>
  <c r="N74" i="12"/>
  <c r="O75" i="12" s="1"/>
  <c r="O77" i="12"/>
  <c r="AG75" i="12"/>
  <c r="AC75" i="12" s="1"/>
  <c r="I71" i="12"/>
  <c r="AB71" i="12" s="1"/>
  <c r="H68" i="12"/>
  <c r="I73" i="12"/>
  <c r="AB73" i="12" s="1"/>
  <c r="I75" i="12"/>
  <c r="AB75" i="12" s="1"/>
  <c r="H71" i="12"/>
  <c r="AG69" i="12" s="1"/>
  <c r="H70" i="12"/>
  <c r="H72" i="12"/>
  <c r="AG70" i="12" s="1"/>
  <c r="I74" i="12"/>
  <c r="AB74" i="12" s="1"/>
  <c r="W16" i="12"/>
  <c r="N12" i="13" s="1"/>
  <c r="N89" i="13" s="1"/>
  <c r="P63" i="13"/>
  <c r="Q63" i="13" s="1"/>
  <c r="R63" i="13" s="1"/>
  <c r="W19" i="12"/>
  <c r="N15" i="13" s="1"/>
  <c r="N92" i="13" s="1"/>
  <c r="N94" i="13"/>
  <c r="C44" i="13"/>
  <c r="C70" i="13" s="1"/>
  <c r="U42" i="13"/>
  <c r="U70" i="13" s="1"/>
  <c r="L42" i="13"/>
  <c r="L70" i="13" s="1"/>
  <c r="P57" i="13"/>
  <c r="Q57" i="13" s="1"/>
  <c r="R57" i="13" s="1"/>
  <c r="P70" i="13"/>
  <c r="Q70" i="13" s="1"/>
  <c r="R70" i="13" s="1"/>
  <c r="P55" i="13"/>
  <c r="Q55" i="13" s="1"/>
  <c r="R55" i="13" s="1"/>
  <c r="P64" i="13"/>
  <c r="Q64" i="13" s="1"/>
  <c r="R64" i="13" s="1"/>
  <c r="N98" i="13"/>
  <c r="P65" i="13"/>
  <c r="Q65" i="13" s="1"/>
  <c r="R65" i="13" s="1"/>
  <c r="P62" i="13"/>
  <c r="Q62" i="13" s="1"/>
  <c r="R62" i="13" s="1"/>
  <c r="P69" i="13"/>
  <c r="Q69" i="13" s="1"/>
  <c r="R69" i="13" s="1"/>
  <c r="P67" i="13"/>
  <c r="Q67" i="13" s="1"/>
  <c r="R67" i="13" s="1"/>
  <c r="P66" i="13"/>
  <c r="Q66" i="13" s="1"/>
  <c r="R66" i="13" s="1"/>
  <c r="P60" i="13"/>
  <c r="Q60" i="13" s="1"/>
  <c r="R60" i="13" s="1"/>
  <c r="P58" i="13"/>
  <c r="Q58" i="13" s="1"/>
  <c r="R58" i="13" s="1"/>
  <c r="P59" i="13"/>
  <c r="W22" i="12"/>
  <c r="N18" i="13" s="1"/>
  <c r="P61" i="13"/>
  <c r="Q61" i="13" s="1"/>
  <c r="R61" i="13" s="1"/>
  <c r="N71" i="13"/>
  <c r="P56" i="13"/>
  <c r="Q56" i="13" s="1"/>
  <c r="R56" i="13" s="1"/>
  <c r="P68" i="13"/>
  <c r="Q68" i="13" s="1"/>
  <c r="R68" i="13" s="1"/>
  <c r="AG74" i="12"/>
  <c r="AC74" i="12" s="1"/>
  <c r="AG77" i="12"/>
  <c r="AC77" i="12" s="1"/>
  <c r="AB81" i="12"/>
  <c r="AG79" i="12"/>
  <c r="AC79" i="12" s="1"/>
  <c r="AB80" i="12"/>
  <c r="AG78" i="12"/>
  <c r="AC78" i="12" s="1"/>
  <c r="AB82" i="12"/>
  <c r="AG80" i="12"/>
  <c r="AC80" i="12" s="1"/>
  <c r="B296" i="12"/>
  <c r="AF295" i="12"/>
  <c r="Z295" i="12" s="1"/>
  <c r="AC70" i="12" l="1"/>
  <c r="AG73" i="12"/>
  <c r="AC73" i="12" s="1"/>
  <c r="AG72" i="12"/>
  <c r="AC72" i="12" s="1"/>
  <c r="C65" i="12"/>
  <c r="P66" i="12"/>
  <c r="F66" i="12"/>
  <c r="D53" i="12"/>
  <c r="M54" i="12"/>
  <c r="F54" i="12"/>
  <c r="AG71" i="12"/>
  <c r="AC71" i="12" s="1"/>
  <c r="Q70" i="12"/>
  <c r="N67" i="12"/>
  <c r="H67" i="12"/>
  <c r="I70" i="12"/>
  <c r="AB70" i="12" s="1"/>
  <c r="C51" i="12"/>
  <c r="P52" i="12"/>
  <c r="W14" i="12"/>
  <c r="N10" i="13" s="1"/>
  <c r="N87" i="13" s="1"/>
  <c r="P71" i="13"/>
  <c r="Q59" i="13"/>
  <c r="R59" i="13" s="1"/>
  <c r="R72" i="13" s="1"/>
  <c r="N72" i="13" s="1"/>
  <c r="N95" i="13"/>
  <c r="W15" i="12"/>
  <c r="N11" i="13" s="1"/>
  <c r="B295" i="12"/>
  <c r="AF294" i="12"/>
  <c r="Z294" i="12" s="1"/>
  <c r="AG68" i="12" l="1"/>
  <c r="D52" i="12"/>
  <c r="M53" i="12"/>
  <c r="F53" i="12"/>
  <c r="C50" i="12"/>
  <c r="P51" i="12"/>
  <c r="H66" i="12"/>
  <c r="AC69" i="12"/>
  <c r="I69" i="12"/>
  <c r="Q69" i="12"/>
  <c r="N66" i="12"/>
  <c r="Q55" i="12"/>
  <c r="N52" i="12"/>
  <c r="C64" i="12"/>
  <c r="P65" i="12"/>
  <c r="F65" i="12"/>
  <c r="AC68" i="12" s="1"/>
  <c r="N88" i="13"/>
  <c r="B294" i="12"/>
  <c r="AF293" i="12"/>
  <c r="Z293" i="12" s="1"/>
  <c r="H53" i="12" l="1"/>
  <c r="I56" i="12"/>
  <c r="H65" i="12"/>
  <c r="I68" i="12"/>
  <c r="AB69" i="12"/>
  <c r="AG67" i="12"/>
  <c r="Q68" i="12"/>
  <c r="N65" i="12"/>
  <c r="Q54" i="12"/>
  <c r="N51" i="12"/>
  <c r="D51" i="12"/>
  <c r="M52" i="12"/>
  <c r="F52" i="12"/>
  <c r="C63" i="12"/>
  <c r="P64" i="12"/>
  <c r="F64" i="12"/>
  <c r="C49" i="12"/>
  <c r="P50" i="12"/>
  <c r="B293" i="12"/>
  <c r="AF292" i="12"/>
  <c r="Z292" i="12" s="1"/>
  <c r="H52" i="12" l="1"/>
  <c r="I55" i="12"/>
  <c r="AC67" i="12"/>
  <c r="Q53" i="12"/>
  <c r="N50" i="12"/>
  <c r="N64" i="12"/>
  <c r="Q67" i="12"/>
  <c r="AB68" i="12"/>
  <c r="AG66" i="12"/>
  <c r="H64" i="12"/>
  <c r="I67" i="12"/>
  <c r="C48" i="12"/>
  <c r="P49" i="12"/>
  <c r="C62" i="12"/>
  <c r="P63" i="12"/>
  <c r="F63" i="12"/>
  <c r="D50" i="12"/>
  <c r="M51" i="12"/>
  <c r="F51" i="12"/>
  <c r="B292" i="12"/>
  <c r="AF291" i="12"/>
  <c r="Z291" i="12" s="1"/>
  <c r="H51" i="12" l="1"/>
  <c r="I54" i="12"/>
  <c r="AB54" i="12" s="1"/>
  <c r="AC66" i="12"/>
  <c r="D49" i="12"/>
  <c r="M50" i="12"/>
  <c r="F50" i="12"/>
  <c r="Q52" i="12"/>
  <c r="N49" i="12"/>
  <c r="I66" i="12"/>
  <c r="H63" i="12"/>
  <c r="N63" i="12"/>
  <c r="Q66" i="12"/>
  <c r="C47" i="12"/>
  <c r="P48" i="12"/>
  <c r="C61" i="12"/>
  <c r="P62" i="12"/>
  <c r="F62" i="12"/>
  <c r="AB67" i="12"/>
  <c r="AG65" i="12"/>
  <c r="B291" i="12"/>
  <c r="AF290" i="12"/>
  <c r="Z290" i="12" s="1"/>
  <c r="AC65" i="12" l="1"/>
  <c r="W13" i="12"/>
  <c r="N9" i="13" s="1"/>
  <c r="N86" i="13" s="1"/>
  <c r="H50" i="12"/>
  <c r="I53" i="12"/>
  <c r="I65" i="12"/>
  <c r="H62" i="12"/>
  <c r="Q51" i="12"/>
  <c r="N48" i="12"/>
  <c r="AB66" i="12"/>
  <c r="AG64" i="12"/>
  <c r="C60" i="12"/>
  <c r="P61" i="12"/>
  <c r="F61" i="12"/>
  <c r="Q65" i="12"/>
  <c r="N62" i="12"/>
  <c r="C46" i="12"/>
  <c r="U10" i="12" s="1"/>
  <c r="T10" i="12" s="1"/>
  <c r="P47" i="12"/>
  <c r="D48" i="12"/>
  <c r="M49" i="12"/>
  <c r="F49" i="12"/>
  <c r="B290" i="12"/>
  <c r="AF289" i="12"/>
  <c r="Z289" i="12" s="1"/>
  <c r="S45" i="12"/>
  <c r="AC64" i="12" l="1"/>
  <c r="H49" i="12"/>
  <c r="I52" i="12"/>
  <c r="AB53" i="12"/>
  <c r="AG51" i="12"/>
  <c r="P60" i="12"/>
  <c r="P59" i="12"/>
  <c r="U12" i="12"/>
  <c r="F60" i="12"/>
  <c r="Q50" i="12"/>
  <c r="N47" i="12"/>
  <c r="I64" i="12"/>
  <c r="H61" i="12"/>
  <c r="AB65" i="12"/>
  <c r="AG63" i="12"/>
  <c r="D47" i="12"/>
  <c r="M48" i="12"/>
  <c r="F48" i="12"/>
  <c r="C45" i="12"/>
  <c r="P46" i="12"/>
  <c r="Q64" i="12"/>
  <c r="N61" i="12"/>
  <c r="C43" i="13"/>
  <c r="C69" i="13" s="1"/>
  <c r="U41" i="13"/>
  <c r="U69" i="13" s="1"/>
  <c r="L41" i="13"/>
  <c r="L69" i="13" s="1"/>
  <c r="B289" i="12"/>
  <c r="AF288" i="12"/>
  <c r="Z288" i="12" s="1"/>
  <c r="T12" i="12" l="1"/>
  <c r="T11" i="12"/>
  <c r="AC63" i="12"/>
  <c r="I58" i="12"/>
  <c r="I57" i="12"/>
  <c r="H48" i="12"/>
  <c r="I51" i="12"/>
  <c r="AC51" i="12"/>
  <c r="AB52" i="12"/>
  <c r="AG50" i="12"/>
  <c r="D46" i="12"/>
  <c r="M47" i="12"/>
  <c r="F47" i="12"/>
  <c r="C44" i="12"/>
  <c r="P45" i="12"/>
  <c r="N59" i="12"/>
  <c r="Q62" i="12"/>
  <c r="Q60" i="12"/>
  <c r="N57" i="12"/>
  <c r="N58" i="12"/>
  <c r="Q61" i="12"/>
  <c r="Q59" i="12"/>
  <c r="N56" i="12"/>
  <c r="Q58" i="12"/>
  <c r="N55" i="12"/>
  <c r="Q57" i="12"/>
  <c r="N54" i="12"/>
  <c r="Q56" i="12"/>
  <c r="N53" i="12"/>
  <c r="Q49" i="12"/>
  <c r="N46" i="12"/>
  <c r="Q63" i="12"/>
  <c r="N60" i="12"/>
  <c r="AB64" i="12"/>
  <c r="AG62" i="12"/>
  <c r="AC62" i="12" s="1"/>
  <c r="AG59" i="12"/>
  <c r="AC59" i="12" s="1"/>
  <c r="I61" i="12"/>
  <c r="AB61" i="12" s="1"/>
  <c r="H59" i="12"/>
  <c r="H60" i="12"/>
  <c r="H58" i="12"/>
  <c r="AG56" i="12" s="1"/>
  <c r="AC56" i="12" s="1"/>
  <c r="I62" i="12"/>
  <c r="I63" i="12"/>
  <c r="I60" i="12"/>
  <c r="AB60" i="12" s="1"/>
  <c r="H57" i="12"/>
  <c r="AG55" i="12" s="1"/>
  <c r="AC55" i="12" s="1"/>
  <c r="I59" i="12"/>
  <c r="AB59" i="12" s="1"/>
  <c r="H56" i="12"/>
  <c r="AG54" i="12" s="1"/>
  <c r="AC54" i="12" s="1"/>
  <c r="H55" i="12"/>
  <c r="AG53" i="12" s="1"/>
  <c r="AC53" i="12" s="1"/>
  <c r="AB58" i="12"/>
  <c r="H54" i="12"/>
  <c r="AG52" i="12" s="1"/>
  <c r="AC52" i="12" s="1"/>
  <c r="AF287" i="12"/>
  <c r="Z287" i="12" s="1"/>
  <c r="B288" i="12"/>
  <c r="AG58" i="12" l="1"/>
  <c r="AC58" i="12" s="1"/>
  <c r="AG57" i="12"/>
  <c r="AC57" i="12" s="1"/>
  <c r="AB51" i="12"/>
  <c r="AG49" i="12"/>
  <c r="H47" i="12"/>
  <c r="AC50" i="12"/>
  <c r="I50" i="12"/>
  <c r="C43" i="12"/>
  <c r="P44" i="12"/>
  <c r="Q48" i="12"/>
  <c r="N45" i="12"/>
  <c r="AB63" i="12"/>
  <c r="AG61" i="12"/>
  <c r="AC61" i="12" s="1"/>
  <c r="AB62" i="12"/>
  <c r="AG60" i="12"/>
  <c r="AC60" i="12" s="1"/>
  <c r="D45" i="12"/>
  <c r="M46" i="12"/>
  <c r="F46" i="12"/>
  <c r="AF286" i="12"/>
  <c r="Z286" i="12" s="1"/>
  <c r="B287" i="12"/>
  <c r="AB50" i="12" l="1"/>
  <c r="AG48" i="12"/>
  <c r="H46" i="12"/>
  <c r="AC49" i="12"/>
  <c r="I49" i="12"/>
  <c r="D44" i="12"/>
  <c r="M45" i="12"/>
  <c r="O60" i="12" s="1"/>
  <c r="AH58" i="12" s="1"/>
  <c r="AD58" i="12" s="1"/>
  <c r="F45" i="12"/>
  <c r="Q47" i="12"/>
  <c r="N44" i="12"/>
  <c r="C42" i="12"/>
  <c r="P43" i="12"/>
  <c r="W12" i="12"/>
  <c r="N8" i="13" s="1"/>
  <c r="AF285" i="12"/>
  <c r="Z285" i="12" s="1"/>
  <c r="B286" i="12"/>
  <c r="N85" i="13" l="1"/>
  <c r="P3" i="13"/>
  <c r="Q3" i="13" s="1"/>
  <c r="R3" i="13" s="1"/>
  <c r="P7" i="13"/>
  <c r="Q7" i="13" s="1"/>
  <c r="R7" i="13" s="1"/>
  <c r="P5" i="13"/>
  <c r="Q5" i="13" s="1"/>
  <c r="R5" i="13" s="1"/>
  <c r="P4" i="13"/>
  <c r="Q4" i="13" s="1"/>
  <c r="R4" i="13" s="1"/>
  <c r="P6" i="13"/>
  <c r="Q6" i="13" s="1"/>
  <c r="R6" i="13" s="1"/>
  <c r="H45" i="12"/>
  <c r="I48" i="12"/>
  <c r="AC48" i="12"/>
  <c r="AB49" i="12"/>
  <c r="AG47" i="12"/>
  <c r="C41" i="12"/>
  <c r="P42" i="12"/>
  <c r="Q46" i="12"/>
  <c r="N43" i="12"/>
  <c r="D43" i="12"/>
  <c r="M44" i="12"/>
  <c r="O59" i="12" s="1"/>
  <c r="AH57" i="12" s="1"/>
  <c r="AD57" i="12" s="1"/>
  <c r="F44" i="12"/>
  <c r="AF284" i="12"/>
  <c r="Z284" i="12" s="1"/>
  <c r="B285" i="12"/>
  <c r="H44" i="12" l="1"/>
  <c r="I47" i="12"/>
  <c r="AC47" i="12"/>
  <c r="AB48" i="12"/>
  <c r="AG46" i="12"/>
  <c r="D42" i="12"/>
  <c r="M43" i="12"/>
  <c r="O58" i="12" s="1"/>
  <c r="AH56" i="12" s="1"/>
  <c r="AD56" i="12" s="1"/>
  <c r="F43" i="12"/>
  <c r="Q45" i="12"/>
  <c r="N42" i="12"/>
  <c r="C40" i="12"/>
  <c r="P41" i="12"/>
  <c r="AF283" i="12"/>
  <c r="Z283" i="12" s="1"/>
  <c r="B284" i="12"/>
  <c r="H43" i="12" l="1"/>
  <c r="AC46" i="12"/>
  <c r="I46" i="12"/>
  <c r="AB47" i="12"/>
  <c r="AG45" i="12"/>
  <c r="C39" i="12"/>
  <c r="U9" i="12" s="1"/>
  <c r="P40" i="12"/>
  <c r="Q44" i="12"/>
  <c r="N41" i="12"/>
  <c r="D41" i="12"/>
  <c r="M42" i="12"/>
  <c r="O57" i="12" s="1"/>
  <c r="AH55" i="12" s="1"/>
  <c r="AD55" i="12" s="1"/>
  <c r="F42" i="12"/>
  <c r="AF282" i="12"/>
  <c r="Z282" i="12" s="1"/>
  <c r="S44" i="12"/>
  <c r="B283" i="12"/>
  <c r="T9" i="12" l="1"/>
  <c r="AC45" i="12"/>
  <c r="I45" i="12"/>
  <c r="AB46" i="12"/>
  <c r="AG44" i="12"/>
  <c r="H42" i="12"/>
  <c r="C38" i="12"/>
  <c r="P39" i="12"/>
  <c r="D40" i="12"/>
  <c r="M41" i="12"/>
  <c r="O56" i="12" s="1"/>
  <c r="AH54" i="12" s="1"/>
  <c r="AD54" i="12" s="1"/>
  <c r="F41" i="12"/>
  <c r="Q43" i="12"/>
  <c r="N40" i="12"/>
  <c r="C42" i="13"/>
  <c r="C68" i="13" s="1"/>
  <c r="U40" i="13"/>
  <c r="U68" i="13" s="1"/>
  <c r="L40" i="13"/>
  <c r="L68" i="13" s="1"/>
  <c r="AF281" i="12"/>
  <c r="Z281" i="12" s="1"/>
  <c r="B282" i="12"/>
  <c r="AB45" i="12" l="1"/>
  <c r="AG43" i="12"/>
  <c r="I44" i="12"/>
  <c r="AC44" i="12"/>
  <c r="W10" i="12" s="1"/>
  <c r="C37" i="12"/>
  <c r="P38" i="12"/>
  <c r="D39" i="12"/>
  <c r="M40" i="12"/>
  <c r="O55" i="12" s="1"/>
  <c r="AH53" i="12" s="1"/>
  <c r="AD53" i="12" s="1"/>
  <c r="F40" i="12"/>
  <c r="H41" i="12"/>
  <c r="Q42" i="12"/>
  <c r="N39" i="12"/>
  <c r="AF280" i="12"/>
  <c r="Z280" i="12" s="1"/>
  <c r="B281" i="12"/>
  <c r="I43" i="12" l="1"/>
  <c r="AC43" i="12"/>
  <c r="AB44" i="12"/>
  <c r="AG42" i="12"/>
  <c r="H40" i="12"/>
  <c r="C36" i="12"/>
  <c r="P37" i="12"/>
  <c r="Q41" i="12"/>
  <c r="N38" i="12"/>
  <c r="D38" i="12"/>
  <c r="M39" i="12"/>
  <c r="O54" i="12" s="1"/>
  <c r="AH52" i="12" s="1"/>
  <c r="AD52" i="12" s="1"/>
  <c r="F39" i="12"/>
  <c r="AF279" i="12"/>
  <c r="Z279" i="12" s="1"/>
  <c r="B280" i="12"/>
  <c r="AC42" i="12" l="1"/>
  <c r="I42" i="12"/>
  <c r="AB43" i="12"/>
  <c r="AG41" i="12"/>
  <c r="H39" i="12"/>
  <c r="C35" i="12"/>
  <c r="P36" i="12"/>
  <c r="Q40" i="12"/>
  <c r="N37" i="12"/>
  <c r="D37" i="12"/>
  <c r="M38" i="12"/>
  <c r="O53" i="12" s="1"/>
  <c r="AH51" i="12" s="1"/>
  <c r="AD51" i="12" s="1"/>
  <c r="X11" i="12" s="1"/>
  <c r="F38" i="12"/>
  <c r="AF278" i="12"/>
  <c r="Z278" i="12" s="1"/>
  <c r="B279" i="12"/>
  <c r="AB42" i="12" l="1"/>
  <c r="AG40" i="12"/>
  <c r="AC41" i="12"/>
  <c r="I41" i="12"/>
  <c r="H38" i="12"/>
  <c r="C34" i="12"/>
  <c r="P35" i="12"/>
  <c r="D36" i="12"/>
  <c r="M37" i="12"/>
  <c r="O52" i="12" s="1"/>
  <c r="AH50" i="12" s="1"/>
  <c r="AD50" i="12" s="1"/>
  <c r="F37" i="12"/>
  <c r="Q39" i="12"/>
  <c r="N36" i="12"/>
  <c r="AF277" i="12"/>
  <c r="Z277" i="12" s="1"/>
  <c r="B278" i="12"/>
  <c r="AB41" i="12" l="1"/>
  <c r="AG39" i="12"/>
  <c r="AC40" i="12"/>
  <c r="I40" i="12"/>
  <c r="C33" i="12"/>
  <c r="P34" i="12"/>
  <c r="D35" i="12"/>
  <c r="M36" i="12"/>
  <c r="O51" i="12" s="1"/>
  <c r="AH49" i="12" s="1"/>
  <c r="AD49" i="12" s="1"/>
  <c r="F36" i="12"/>
  <c r="H37" i="12"/>
  <c r="Q38" i="12"/>
  <c r="N35" i="12"/>
  <c r="AF276" i="12"/>
  <c r="Z276" i="12" s="1"/>
  <c r="B277" i="12"/>
  <c r="I39" i="12" l="1"/>
  <c r="AC39" i="12"/>
  <c r="AB40" i="12"/>
  <c r="AG38" i="12"/>
  <c r="H36" i="12"/>
  <c r="Q37" i="12"/>
  <c r="N34" i="12"/>
  <c r="D34" i="12"/>
  <c r="M35" i="12"/>
  <c r="O50" i="12" s="1"/>
  <c r="AH48" i="12" s="1"/>
  <c r="AD48" i="12" s="1"/>
  <c r="F35" i="12"/>
  <c r="C32" i="12"/>
  <c r="U8" i="12" s="1"/>
  <c r="T8" i="12" s="1"/>
  <c r="P33" i="12"/>
  <c r="AF275" i="12"/>
  <c r="Z275" i="12" s="1"/>
  <c r="S43" i="12"/>
  <c r="B276" i="12"/>
  <c r="AC38" i="12" l="1"/>
  <c r="I38" i="12"/>
  <c r="AB39" i="12"/>
  <c r="AG37" i="12"/>
  <c r="D33" i="12"/>
  <c r="M34" i="12"/>
  <c r="O49" i="12" s="1"/>
  <c r="AH47" i="12" s="1"/>
  <c r="AD47" i="12" s="1"/>
  <c r="F34" i="12"/>
  <c r="H35" i="12"/>
  <c r="Q36" i="12"/>
  <c r="N33" i="12"/>
  <c r="C31" i="12"/>
  <c r="P32" i="12"/>
  <c r="C41" i="13"/>
  <c r="C67" i="13" s="1"/>
  <c r="U39" i="13"/>
  <c r="U67" i="13" s="1"/>
  <c r="L39" i="13"/>
  <c r="L67" i="13" s="1"/>
  <c r="AF274" i="12"/>
  <c r="Z274" i="12" s="1"/>
  <c r="B275" i="12"/>
  <c r="AB38" i="12" l="1"/>
  <c r="AG36" i="12"/>
  <c r="AC37" i="12"/>
  <c r="W9" i="12" s="1"/>
  <c r="I37" i="12"/>
  <c r="H34" i="12"/>
  <c r="Q35" i="12"/>
  <c r="N32" i="12"/>
  <c r="C30" i="12"/>
  <c r="P31" i="12"/>
  <c r="D32" i="12"/>
  <c r="M33" i="12"/>
  <c r="O48" i="12" s="1"/>
  <c r="AH46" i="12" s="1"/>
  <c r="AD46" i="12" s="1"/>
  <c r="F33" i="12"/>
  <c r="AF273" i="12"/>
  <c r="Z273" i="12" s="1"/>
  <c r="B274" i="12"/>
  <c r="I36" i="12" l="1"/>
  <c r="AC36" i="12"/>
  <c r="AB37" i="12"/>
  <c r="AG35" i="12"/>
  <c r="H33" i="12"/>
  <c r="Q34" i="12"/>
  <c r="N31" i="12"/>
  <c r="C29" i="12"/>
  <c r="P30" i="12"/>
  <c r="D31" i="12"/>
  <c r="M32" i="12"/>
  <c r="O47" i="12" s="1"/>
  <c r="AH45" i="12" s="1"/>
  <c r="AD45" i="12" s="1"/>
  <c r="F32" i="12"/>
  <c r="AF272" i="12"/>
  <c r="Z272" i="12" s="1"/>
  <c r="B273" i="12"/>
  <c r="AB36" i="12" l="1"/>
  <c r="AG34" i="12"/>
  <c r="I35" i="12"/>
  <c r="AC35" i="12"/>
  <c r="D30" i="12"/>
  <c r="M31" i="12"/>
  <c r="O46" i="12" s="1"/>
  <c r="AH44" i="12" s="1"/>
  <c r="AD44" i="12" s="1"/>
  <c r="X10" i="12" s="1"/>
  <c r="F31" i="12"/>
  <c r="Q33" i="12"/>
  <c r="N30" i="12"/>
  <c r="H32" i="12"/>
  <c r="C28" i="12"/>
  <c r="P29" i="12"/>
  <c r="AF271" i="12"/>
  <c r="Z271" i="12" s="1"/>
  <c r="B272" i="12"/>
  <c r="AB35" i="12" l="1"/>
  <c r="AG33" i="12"/>
  <c r="AC34" i="12"/>
  <c r="I34" i="12"/>
  <c r="Q32" i="12"/>
  <c r="N29" i="12"/>
  <c r="H31" i="12"/>
  <c r="C27" i="12"/>
  <c r="P28" i="12"/>
  <c r="D29" i="12"/>
  <c r="M30" i="12"/>
  <c r="O45" i="12" s="1"/>
  <c r="AH43" i="12" s="1"/>
  <c r="AD43" i="12" s="1"/>
  <c r="F30" i="12"/>
  <c r="AF270" i="12"/>
  <c r="Z270" i="12" s="1"/>
  <c r="B271" i="12"/>
  <c r="AC33" i="12" l="1"/>
  <c r="I33" i="12"/>
  <c r="AB34" i="12"/>
  <c r="AG32" i="12"/>
  <c r="D28" i="12"/>
  <c r="M29" i="12"/>
  <c r="F29" i="12"/>
  <c r="H30" i="12"/>
  <c r="Q31" i="12"/>
  <c r="N28" i="12"/>
  <c r="C26" i="12"/>
  <c r="P27" i="12"/>
  <c r="AF269" i="12"/>
  <c r="Z269" i="12" s="1"/>
  <c r="B270" i="12"/>
  <c r="AB33" i="12" l="1"/>
  <c r="AG31" i="12"/>
  <c r="AC32" i="12"/>
  <c r="I32" i="12"/>
  <c r="H29" i="12"/>
  <c r="O44" i="12"/>
  <c r="AH42" i="12" s="1"/>
  <c r="AD42" i="12" s="1"/>
  <c r="C25" i="12"/>
  <c r="U7" i="12" s="1"/>
  <c r="T7" i="12" s="1"/>
  <c r="P26" i="12"/>
  <c r="N27" i="12"/>
  <c r="Q30" i="12"/>
  <c r="D27" i="12"/>
  <c r="M28" i="12"/>
  <c r="F28" i="12"/>
  <c r="AF268" i="12"/>
  <c r="Z268" i="12" s="1"/>
  <c r="S42" i="12"/>
  <c r="B269" i="12"/>
  <c r="I31" i="12" l="1"/>
  <c r="AC31" i="12"/>
  <c r="AB32" i="12"/>
  <c r="AG30" i="12"/>
  <c r="H28" i="12"/>
  <c r="N26" i="12"/>
  <c r="Q29" i="12"/>
  <c r="O43" i="12"/>
  <c r="AH41" i="12" s="1"/>
  <c r="AD41" i="12" s="1"/>
  <c r="C24" i="12"/>
  <c r="P25" i="12"/>
  <c r="AB57" i="12"/>
  <c r="D26" i="12"/>
  <c r="M27" i="12"/>
  <c r="F27" i="12"/>
  <c r="C40" i="13"/>
  <c r="C66" i="13" s="1"/>
  <c r="U38" i="13"/>
  <c r="U66" i="13" s="1"/>
  <c r="L38" i="13"/>
  <c r="L66" i="13" s="1"/>
  <c r="AF267" i="12"/>
  <c r="Z267" i="12" s="1"/>
  <c r="B268" i="12"/>
  <c r="AB31" i="12" l="1"/>
  <c r="AG29" i="12"/>
  <c r="AC30" i="12"/>
  <c r="W8" i="12" s="1"/>
  <c r="N25" i="12"/>
  <c r="Q28" i="12"/>
  <c r="D25" i="12"/>
  <c r="M26" i="12"/>
  <c r="F26" i="12"/>
  <c r="AB56" i="12"/>
  <c r="I30" i="12"/>
  <c r="H27" i="12"/>
  <c r="O42" i="12"/>
  <c r="AH40" i="12" s="1"/>
  <c r="AD40" i="12" s="1"/>
  <c r="W11" i="12"/>
  <c r="C23" i="12"/>
  <c r="P24" i="12"/>
  <c r="AF266" i="12"/>
  <c r="Z266" i="12" s="1"/>
  <c r="B267" i="12"/>
  <c r="AB30" i="12" l="1"/>
  <c r="AG28" i="12"/>
  <c r="AC29" i="12"/>
  <c r="D24" i="12"/>
  <c r="M25" i="12"/>
  <c r="F25" i="12"/>
  <c r="C22" i="12"/>
  <c r="P23" i="12"/>
  <c r="O41" i="12"/>
  <c r="AH39" i="12" s="1"/>
  <c r="AD39" i="12" s="1"/>
  <c r="N24" i="12"/>
  <c r="Q27" i="12"/>
  <c r="AB55" i="12"/>
  <c r="H26" i="12"/>
  <c r="I29" i="12"/>
  <c r="AF265" i="12"/>
  <c r="Z265" i="12" s="1"/>
  <c r="B266" i="12"/>
  <c r="AC28" i="12" l="1"/>
  <c r="AB29" i="12"/>
  <c r="AG27" i="12"/>
  <c r="C21" i="12"/>
  <c r="P22" i="12"/>
  <c r="I28" i="12"/>
  <c r="H25" i="12"/>
  <c r="O40" i="12"/>
  <c r="AH38" i="12" s="1"/>
  <c r="AD38" i="12" s="1"/>
  <c r="N23" i="12"/>
  <c r="Q26" i="12"/>
  <c r="D23" i="12"/>
  <c r="M24" i="12"/>
  <c r="F24" i="12"/>
  <c r="AF264" i="12"/>
  <c r="Z264" i="12" s="1"/>
  <c r="B265" i="12"/>
  <c r="AC27" i="12" l="1"/>
  <c r="H24" i="12"/>
  <c r="I27" i="12"/>
  <c r="N22" i="12"/>
  <c r="Q25" i="12"/>
  <c r="O39" i="12"/>
  <c r="AH37" i="12" s="1"/>
  <c r="AD37" i="12" s="1"/>
  <c r="X9" i="12" s="1"/>
  <c r="AB28" i="12"/>
  <c r="AG26" i="12"/>
  <c r="C20" i="12"/>
  <c r="P21" i="12"/>
  <c r="D22" i="12"/>
  <c r="M23" i="12"/>
  <c r="F23" i="12"/>
  <c r="AF263" i="12"/>
  <c r="Z263" i="12" s="1"/>
  <c r="B264" i="12"/>
  <c r="AC26" i="12" l="1"/>
  <c r="D21" i="12"/>
  <c r="M22" i="12"/>
  <c r="F22" i="12"/>
  <c r="C19" i="12"/>
  <c r="P20" i="12"/>
  <c r="AB27" i="12"/>
  <c r="AG25" i="12"/>
  <c r="I26" i="12"/>
  <c r="H23" i="12"/>
  <c r="O38" i="12"/>
  <c r="AH36" i="12" s="1"/>
  <c r="AD36" i="12" s="1"/>
  <c r="N21" i="12"/>
  <c r="Q24" i="12"/>
  <c r="N84" i="13"/>
  <c r="AF262" i="12"/>
  <c r="Z262" i="12" s="1"/>
  <c r="B263" i="12"/>
  <c r="AC25" i="12" l="1"/>
  <c r="C18" i="12"/>
  <c r="U6" i="12" s="1"/>
  <c r="T6" i="12" s="1"/>
  <c r="P19" i="12"/>
  <c r="H22" i="12"/>
  <c r="I25" i="12"/>
  <c r="O37" i="12"/>
  <c r="AH35" i="12" s="1"/>
  <c r="AD35" i="12" s="1"/>
  <c r="AB26" i="12"/>
  <c r="AG24" i="12"/>
  <c r="Q23" i="12"/>
  <c r="N20" i="12"/>
  <c r="D20" i="12"/>
  <c r="M21" i="12"/>
  <c r="F21" i="12"/>
  <c r="AF261" i="12"/>
  <c r="Z261" i="12" s="1"/>
  <c r="S41" i="12"/>
  <c r="B262" i="12"/>
  <c r="AC24" i="12" l="1"/>
  <c r="O61" i="12"/>
  <c r="O36" i="12"/>
  <c r="AH34" i="12" s="1"/>
  <c r="AD34" i="12" s="1"/>
  <c r="AB25" i="12"/>
  <c r="AG23" i="12"/>
  <c r="D19" i="12"/>
  <c r="M20" i="12"/>
  <c r="O35" i="12" s="1"/>
  <c r="AH33" i="12" s="1"/>
  <c r="AD33" i="12" s="1"/>
  <c r="F20" i="12"/>
  <c r="Q22" i="12"/>
  <c r="N19" i="12"/>
  <c r="I24" i="12"/>
  <c r="H21" i="12"/>
  <c r="C17" i="12"/>
  <c r="P18" i="12"/>
  <c r="C39" i="13"/>
  <c r="C65" i="13" s="1"/>
  <c r="U37" i="13"/>
  <c r="U65" i="13" s="1"/>
  <c r="L37" i="13"/>
  <c r="L65" i="13" s="1"/>
  <c r="AF260" i="12"/>
  <c r="Z260" i="12" s="1"/>
  <c r="B261" i="12"/>
  <c r="AC23" i="12" l="1"/>
  <c r="W7" i="12" s="1"/>
  <c r="AB24" i="12"/>
  <c r="AG22" i="12"/>
  <c r="N18" i="12"/>
  <c r="Q21" i="12"/>
  <c r="H20" i="12"/>
  <c r="I23" i="12"/>
  <c r="C16" i="12"/>
  <c r="P17" i="12"/>
  <c r="D18" i="12"/>
  <c r="M19" i="12"/>
  <c r="O34" i="12" s="1"/>
  <c r="AH32" i="12" s="1"/>
  <c r="AD32" i="12" s="1"/>
  <c r="F19" i="12"/>
  <c r="AC22" i="12" s="1"/>
  <c r="AF259" i="12"/>
  <c r="Z259" i="12" s="1"/>
  <c r="B260" i="12"/>
  <c r="C15" i="12" l="1"/>
  <c r="P16" i="12"/>
  <c r="D17" i="12"/>
  <c r="M18" i="12"/>
  <c r="O33" i="12" s="1"/>
  <c r="AH31" i="12" s="1"/>
  <c r="AD31" i="12" s="1"/>
  <c r="F18" i="12"/>
  <c r="AB23" i="12"/>
  <c r="AG21" i="12"/>
  <c r="I22" i="12"/>
  <c r="H19" i="12"/>
  <c r="N17" i="12"/>
  <c r="Q20" i="12"/>
  <c r="AF258" i="12"/>
  <c r="Z258" i="12" s="1"/>
  <c r="B259" i="12"/>
  <c r="AC21" i="12" l="1"/>
  <c r="AB22" i="12"/>
  <c r="AG20" i="12"/>
  <c r="Q19" i="12"/>
  <c r="N16" i="12"/>
  <c r="D16" i="12"/>
  <c r="M17" i="12"/>
  <c r="O32" i="12" s="1"/>
  <c r="AH30" i="12" s="1"/>
  <c r="AD30" i="12" s="1"/>
  <c r="X8" i="12" s="1"/>
  <c r="F17" i="12"/>
  <c r="AC20" i="12" s="1"/>
  <c r="I21" i="12"/>
  <c r="H18" i="12"/>
  <c r="C14" i="12"/>
  <c r="P15" i="12"/>
  <c r="AF257" i="12"/>
  <c r="Z257" i="12" s="1"/>
  <c r="B258" i="12"/>
  <c r="C13" i="12" l="1"/>
  <c r="P14" i="12"/>
  <c r="I20" i="12"/>
  <c r="H17" i="12"/>
  <c r="AB21" i="12"/>
  <c r="AG19" i="12"/>
  <c r="D15" i="12"/>
  <c r="M16" i="12"/>
  <c r="O31" i="12" s="1"/>
  <c r="AH29" i="12" s="1"/>
  <c r="AD29" i="12" s="1"/>
  <c r="F16" i="12"/>
  <c r="N15" i="12"/>
  <c r="Q18" i="12"/>
  <c r="AF256" i="12"/>
  <c r="Z256" i="12" s="1"/>
  <c r="B257" i="12"/>
  <c r="I19" i="12" l="1"/>
  <c r="H16" i="12"/>
  <c r="D14" i="12"/>
  <c r="M15" i="12"/>
  <c r="O30" i="12" s="1"/>
  <c r="AH28" i="12" s="1"/>
  <c r="AD28" i="12" s="1"/>
  <c r="F15" i="12"/>
  <c r="Q17" i="12"/>
  <c r="N14" i="12"/>
  <c r="AB20" i="12"/>
  <c r="C12" i="12"/>
  <c r="P13" i="12"/>
  <c r="AF255" i="12"/>
  <c r="Z255" i="12" s="1"/>
  <c r="B256" i="12"/>
  <c r="Q16" i="12" l="1"/>
  <c r="N13" i="12"/>
  <c r="D13" i="12"/>
  <c r="M14" i="12"/>
  <c r="O29" i="12" s="1"/>
  <c r="AH27" i="12" s="1"/>
  <c r="AD27" i="12" s="1"/>
  <c r="F14" i="12"/>
  <c r="C11" i="12"/>
  <c r="U5" i="12" s="1"/>
  <c r="T5" i="12" s="1"/>
  <c r="P12" i="12"/>
  <c r="H15" i="12"/>
  <c r="I18" i="12"/>
  <c r="W6" i="12"/>
  <c r="P29" i="13"/>
  <c r="Q29" i="13" s="1"/>
  <c r="R29" i="13" s="1"/>
  <c r="P17" i="13"/>
  <c r="Q17" i="13" s="1"/>
  <c r="R17" i="13" s="1"/>
  <c r="P36" i="13"/>
  <c r="Q36" i="13" s="1"/>
  <c r="R36" i="13" s="1"/>
  <c r="P33" i="13"/>
  <c r="Q33" i="13" s="1"/>
  <c r="R33" i="13" s="1"/>
  <c r="P32" i="13"/>
  <c r="Q32" i="13" s="1"/>
  <c r="R32" i="13" s="1"/>
  <c r="P11" i="13"/>
  <c r="Q11" i="13" s="1"/>
  <c r="R11" i="13" s="1"/>
  <c r="P35" i="13"/>
  <c r="Q35" i="13" s="1"/>
  <c r="R35" i="13" s="1"/>
  <c r="P23" i="13"/>
  <c r="Q23" i="13" s="1"/>
  <c r="R23" i="13" s="1"/>
  <c r="P37" i="13"/>
  <c r="Q37" i="13" s="1"/>
  <c r="R37" i="13" s="1"/>
  <c r="P31" i="13"/>
  <c r="Q31" i="13" s="1"/>
  <c r="R31" i="13" s="1"/>
  <c r="P10" i="13"/>
  <c r="Q10" i="13" s="1"/>
  <c r="R10" i="13" s="1"/>
  <c r="P20" i="13"/>
  <c r="Q20" i="13" s="1"/>
  <c r="R20" i="13" s="1"/>
  <c r="P8" i="13"/>
  <c r="Q8" i="13" s="1"/>
  <c r="R8" i="13" s="1"/>
  <c r="P15" i="13"/>
  <c r="Q15" i="13" s="1"/>
  <c r="R15" i="13" s="1"/>
  <c r="P27" i="13"/>
  <c r="Q27" i="13" s="1"/>
  <c r="R27" i="13" s="1"/>
  <c r="P12" i="13"/>
  <c r="Q12" i="13" s="1"/>
  <c r="R12" i="13" s="1"/>
  <c r="P24" i="13"/>
  <c r="Q24" i="13" s="1"/>
  <c r="R24" i="13" s="1"/>
  <c r="P22" i="13"/>
  <c r="Q22" i="13" s="1"/>
  <c r="R22" i="13" s="1"/>
  <c r="P9" i="13"/>
  <c r="Q9" i="13" s="1"/>
  <c r="R9" i="13" s="1"/>
  <c r="P19" i="13"/>
  <c r="Q19" i="13" s="1"/>
  <c r="R19" i="13" s="1"/>
  <c r="P28" i="13"/>
  <c r="Q28" i="13" s="1"/>
  <c r="R28" i="13" s="1"/>
  <c r="P25" i="13"/>
  <c r="Q25" i="13" s="1"/>
  <c r="R25" i="13" s="1"/>
  <c r="P26" i="13"/>
  <c r="Q26" i="13" s="1"/>
  <c r="R26" i="13" s="1"/>
  <c r="P41" i="13"/>
  <c r="Q41" i="13" s="1"/>
  <c r="R41" i="13" s="1"/>
  <c r="P34" i="13"/>
  <c r="Q34" i="13" s="1"/>
  <c r="R34" i="13" s="1"/>
  <c r="P30" i="13"/>
  <c r="Q30" i="13" s="1"/>
  <c r="R30" i="13" s="1"/>
  <c r="P16" i="13"/>
  <c r="Q16" i="13" s="1"/>
  <c r="R16" i="13" s="1"/>
  <c r="P18" i="13"/>
  <c r="Q18" i="13" s="1"/>
  <c r="R18" i="13" s="1"/>
  <c r="P13" i="13"/>
  <c r="Q13" i="13" s="1"/>
  <c r="R13" i="13" s="1"/>
  <c r="P14" i="13"/>
  <c r="Q14" i="13" s="1"/>
  <c r="R14" i="13" s="1"/>
  <c r="P21" i="13"/>
  <c r="Q21" i="13" s="1"/>
  <c r="R21" i="13" s="1"/>
  <c r="P38" i="13"/>
  <c r="Q38" i="13" s="1"/>
  <c r="R38" i="13" s="1"/>
  <c r="P39" i="13"/>
  <c r="Q39" i="13" s="1"/>
  <c r="R39" i="13" s="1"/>
  <c r="N43" i="13"/>
  <c r="P40" i="13"/>
  <c r="Q40" i="13" s="1"/>
  <c r="R40" i="13" s="1"/>
  <c r="P42" i="13"/>
  <c r="Q42" i="13" s="1"/>
  <c r="R42" i="13" s="1"/>
  <c r="AF254" i="12"/>
  <c r="Z254" i="12" s="1"/>
  <c r="S40" i="12"/>
  <c r="B255" i="12"/>
  <c r="P85" i="13" l="1"/>
  <c r="Q85" i="13" s="1"/>
  <c r="R85" i="13" s="1"/>
  <c r="P92" i="13"/>
  <c r="Q92" i="13" s="1"/>
  <c r="R92" i="13" s="1"/>
  <c r="P100" i="13"/>
  <c r="Q100" i="13" s="1"/>
  <c r="R100" i="13" s="1"/>
  <c r="P98" i="13"/>
  <c r="Q98" i="13" s="1"/>
  <c r="R98" i="13" s="1"/>
  <c r="P99" i="13"/>
  <c r="Q99" i="13" s="1"/>
  <c r="R99" i="13" s="1"/>
  <c r="P95" i="13"/>
  <c r="Q95" i="13" s="1"/>
  <c r="R95" i="13" s="1"/>
  <c r="P93" i="13"/>
  <c r="Q93" i="13" s="1"/>
  <c r="R93" i="13" s="1"/>
  <c r="P87" i="13"/>
  <c r="Q87" i="13" s="1"/>
  <c r="R87" i="13" s="1"/>
  <c r="P101" i="13"/>
  <c r="Q101" i="13" s="1"/>
  <c r="R101" i="13" s="1"/>
  <c r="P97" i="13"/>
  <c r="Q97" i="13" s="1"/>
  <c r="R97" i="13" s="1"/>
  <c r="P103" i="13"/>
  <c r="Q103" i="13" s="1"/>
  <c r="R103" i="13" s="1"/>
  <c r="P91" i="13"/>
  <c r="Q91" i="13" s="1"/>
  <c r="R91" i="13" s="1"/>
  <c r="P96" i="13"/>
  <c r="Q96" i="13" s="1"/>
  <c r="R96" i="13" s="1"/>
  <c r="P102" i="13"/>
  <c r="Q102" i="13" s="1"/>
  <c r="R102" i="13" s="1"/>
  <c r="P86" i="13"/>
  <c r="Q86" i="13" s="1"/>
  <c r="R86" i="13" s="1"/>
  <c r="P94" i="13"/>
  <c r="Q94" i="13" s="1"/>
  <c r="R94" i="13" s="1"/>
  <c r="P89" i="13"/>
  <c r="Q89" i="13" s="1"/>
  <c r="R89" i="13" s="1"/>
  <c r="P90" i="13"/>
  <c r="Q90" i="13" s="1"/>
  <c r="R90" i="13" s="1"/>
  <c r="P88" i="13"/>
  <c r="Q88" i="13" s="1"/>
  <c r="R88" i="13" s="1"/>
  <c r="N104" i="13"/>
  <c r="P84" i="13"/>
  <c r="Q84" i="13" s="1"/>
  <c r="R84" i="13" s="1"/>
  <c r="P43" i="13"/>
  <c r="R44" i="13"/>
  <c r="N44" i="13" s="1"/>
  <c r="Q15" i="12"/>
  <c r="N12" i="12"/>
  <c r="D12" i="12"/>
  <c r="M13" i="12"/>
  <c r="O28" i="12" s="1"/>
  <c r="F13" i="12"/>
  <c r="C10" i="12"/>
  <c r="P11" i="12"/>
  <c r="H14" i="12"/>
  <c r="I17" i="12"/>
  <c r="C38" i="13"/>
  <c r="C64" i="13" s="1"/>
  <c r="U36" i="13"/>
  <c r="U64" i="13" s="1"/>
  <c r="L36" i="13"/>
  <c r="L64" i="13" s="1"/>
  <c r="AF253" i="12"/>
  <c r="Z253" i="12" s="1"/>
  <c r="B254" i="12"/>
  <c r="H13" i="12" l="1"/>
  <c r="I16" i="12"/>
  <c r="N11" i="12"/>
  <c r="Q14" i="12"/>
  <c r="D11" i="12"/>
  <c r="M12" i="12"/>
  <c r="O27" i="12" s="1"/>
  <c r="F12" i="12"/>
  <c r="C9" i="12"/>
  <c r="P10" i="12"/>
  <c r="R105" i="13"/>
  <c r="N105" i="13" s="1"/>
  <c r="P104" i="13"/>
  <c r="AF252" i="12"/>
  <c r="Z252" i="12" s="1"/>
  <c r="B253" i="12"/>
  <c r="I15" i="12" l="1"/>
  <c r="H12" i="12"/>
  <c r="C8" i="12"/>
  <c r="P9" i="12"/>
  <c r="Q13" i="12"/>
  <c r="N10" i="12"/>
  <c r="D10" i="12"/>
  <c r="M11" i="12"/>
  <c r="O26" i="12" s="1"/>
  <c r="F11" i="12"/>
  <c r="AF251" i="12"/>
  <c r="Z251" i="12" s="1"/>
  <c r="B252" i="12"/>
  <c r="D9" i="12" l="1"/>
  <c r="M10" i="12"/>
  <c r="O25" i="12" s="1"/>
  <c r="F10" i="12"/>
  <c r="Q12" i="12"/>
  <c r="N9" i="12"/>
  <c r="C7" i="12"/>
  <c r="P8" i="12"/>
  <c r="H11" i="12"/>
  <c r="I14" i="12"/>
  <c r="AF250" i="12"/>
  <c r="Z250" i="12" s="1"/>
  <c r="B251" i="12"/>
  <c r="N8" i="12" l="1"/>
  <c r="Q11" i="12"/>
  <c r="H10" i="12"/>
  <c r="I13" i="12"/>
  <c r="C6" i="12"/>
  <c r="P7" i="12"/>
  <c r="D8" i="12"/>
  <c r="M9" i="12"/>
  <c r="O24" i="12" s="1"/>
  <c r="F9" i="12"/>
  <c r="AF249" i="12"/>
  <c r="Z249" i="12" s="1"/>
  <c r="B250" i="12"/>
  <c r="Q10" i="12" l="1"/>
  <c r="N7" i="12"/>
  <c r="H9" i="12"/>
  <c r="I12" i="12"/>
  <c r="D7" i="12"/>
  <c r="M8" i="12"/>
  <c r="O23" i="12" s="1"/>
  <c r="F8" i="12"/>
  <c r="C5" i="12"/>
  <c r="P6" i="12"/>
  <c r="AF248" i="12"/>
  <c r="Z248" i="12" s="1"/>
  <c r="B249" i="12"/>
  <c r="BB9" i="12" l="1"/>
  <c r="P5" i="12"/>
  <c r="I11" i="12"/>
  <c r="H8" i="12"/>
  <c r="Q9" i="12"/>
  <c r="N6" i="12"/>
  <c r="D6" i="12"/>
  <c r="M7" i="12"/>
  <c r="O22" i="12" s="1"/>
  <c r="F7" i="12"/>
  <c r="AF247" i="12"/>
  <c r="Z247" i="12" s="1"/>
  <c r="S39" i="12"/>
  <c r="B248" i="12"/>
  <c r="D5" i="12" l="1"/>
  <c r="M6" i="12"/>
  <c r="F6" i="12"/>
  <c r="I10" i="12"/>
  <c r="H7" i="12"/>
  <c r="N5" i="12"/>
  <c r="Q8" i="12"/>
  <c r="BD9" i="12"/>
  <c r="C37" i="13"/>
  <c r="C63" i="13" s="1"/>
  <c r="U35" i="13"/>
  <c r="U63" i="13" s="1"/>
  <c r="L35" i="13"/>
  <c r="L63" i="13" s="1"/>
  <c r="AF246" i="12"/>
  <c r="Z246" i="12" s="1"/>
  <c r="B247" i="12"/>
  <c r="I9" i="12" l="1"/>
  <c r="H6" i="12"/>
  <c r="M318" i="12"/>
  <c r="O21" i="12"/>
  <c r="BH9" i="12"/>
  <c r="BB14" i="12"/>
  <c r="M5" i="12"/>
  <c r="O20" i="12" s="1"/>
  <c r="F5" i="12"/>
  <c r="AF245" i="12"/>
  <c r="Z245" i="12" s="1"/>
  <c r="B246" i="12"/>
  <c r="BI14" i="12" l="1"/>
  <c r="BD14" i="12"/>
  <c r="BB5" i="12"/>
  <c r="I8" i="12"/>
  <c r="H5" i="12"/>
  <c r="AF244" i="12"/>
  <c r="Z244" i="12" s="1"/>
  <c r="B245" i="12"/>
  <c r="BB17" i="12" l="1"/>
  <c r="BA17" i="12" s="1"/>
  <c r="BA12" i="12"/>
  <c r="BA18" i="12"/>
  <c r="BA9" i="12"/>
  <c r="BA8" i="12" s="1"/>
  <c r="BB8" i="12"/>
  <c r="BK14" i="12"/>
  <c r="BH14" i="12"/>
  <c r="BD5" i="12"/>
  <c r="AF243" i="12"/>
  <c r="Z243" i="12" s="1"/>
  <c r="B244" i="12"/>
  <c r="BH5" i="12" l="1"/>
  <c r="BD17" i="12"/>
  <c r="BH17" i="12" s="1"/>
  <c r="BD8" i="12"/>
  <c r="BA13" i="12"/>
  <c r="BA6" i="12" s="1"/>
  <c r="BA11" i="12"/>
  <c r="AF242" i="12"/>
  <c r="Z242" i="12" s="1"/>
  <c r="B243" i="12"/>
  <c r="BA14" i="12" l="1"/>
  <c r="BA15" i="12" s="1"/>
  <c r="AF241" i="12"/>
  <c r="Z241" i="12" s="1"/>
  <c r="B242" i="12"/>
  <c r="AF240" i="12" l="1"/>
  <c r="Z240" i="12" s="1"/>
  <c r="S38" i="12"/>
  <c r="B241" i="12"/>
  <c r="C36" i="13" l="1"/>
  <c r="C62" i="13" s="1"/>
  <c r="U34" i="13"/>
  <c r="U62" i="13" s="1"/>
  <c r="L34" i="13"/>
  <c r="L62" i="13" s="1"/>
  <c r="AF239" i="12"/>
  <c r="Z239" i="12" s="1"/>
  <c r="B240" i="12"/>
  <c r="AF238" i="12" l="1"/>
  <c r="Z238" i="12" s="1"/>
  <c r="B239" i="12"/>
  <c r="AF237" i="12" l="1"/>
  <c r="Z237" i="12" s="1"/>
  <c r="B238" i="12"/>
  <c r="AF236" i="12" l="1"/>
  <c r="Z236" i="12" s="1"/>
  <c r="B237" i="12"/>
  <c r="AF235" i="12" l="1"/>
  <c r="Z235" i="12" s="1"/>
  <c r="B236" i="12"/>
  <c r="AF234" i="12" l="1"/>
  <c r="Z234" i="12" s="1"/>
  <c r="B235" i="12"/>
  <c r="AF233" i="12" l="1"/>
  <c r="Z233" i="12" s="1"/>
  <c r="S37" i="12"/>
  <c r="B234" i="12"/>
  <c r="C35" i="13" l="1"/>
  <c r="C61" i="13" s="1"/>
  <c r="U33" i="13"/>
  <c r="U61" i="13" s="1"/>
  <c r="L33" i="13"/>
  <c r="L61" i="13" s="1"/>
  <c r="AF232" i="12"/>
  <c r="Z232" i="12" s="1"/>
  <c r="B233" i="12"/>
  <c r="AF231" i="12" l="1"/>
  <c r="Z231" i="12" s="1"/>
  <c r="B232" i="12"/>
  <c r="AF230" i="12" l="1"/>
  <c r="Z230" i="12" s="1"/>
  <c r="B231" i="12"/>
  <c r="AF229" i="12" l="1"/>
  <c r="Z229" i="12" s="1"/>
  <c r="B230" i="12"/>
  <c r="AF228" i="12" l="1"/>
  <c r="Z228" i="12" s="1"/>
  <c r="B229" i="12"/>
  <c r="AF227" i="12" l="1"/>
  <c r="Z227" i="12" s="1"/>
  <c r="B228" i="12"/>
  <c r="AF226" i="12" l="1"/>
  <c r="Z226" i="12" s="1"/>
  <c r="S36" i="12"/>
  <c r="B227" i="12"/>
  <c r="C34" i="13" l="1"/>
  <c r="C60" i="13" s="1"/>
  <c r="U32" i="13"/>
  <c r="U60" i="13" s="1"/>
  <c r="L32" i="13"/>
  <c r="L60" i="13" s="1"/>
  <c r="AF225" i="12"/>
  <c r="Z225" i="12" s="1"/>
  <c r="B226" i="12"/>
  <c r="D85" i="13"/>
  <c r="AF224" i="12" l="1"/>
  <c r="Z224" i="12" s="1"/>
  <c r="B225" i="12"/>
  <c r="AF223" i="12" l="1"/>
  <c r="Z223" i="12" s="1"/>
  <c r="B224" i="12"/>
  <c r="AF222" i="12" l="1"/>
  <c r="Z222" i="12" s="1"/>
  <c r="B223" i="12"/>
  <c r="AF221" i="12" l="1"/>
  <c r="Z221" i="12" s="1"/>
  <c r="B222" i="12"/>
  <c r="AF220" i="12" l="1"/>
  <c r="Z220" i="12" s="1"/>
  <c r="B221" i="12"/>
  <c r="AF219" i="12" l="1"/>
  <c r="Z219" i="12" s="1"/>
  <c r="S35" i="12"/>
  <c r="B220" i="12"/>
  <c r="D84" i="13"/>
  <c r="C33" i="13" l="1"/>
  <c r="C59" i="13" s="1"/>
  <c r="U31" i="13"/>
  <c r="U59" i="13" s="1"/>
  <c r="L31" i="13"/>
  <c r="L59" i="13" s="1"/>
  <c r="AF218" i="12"/>
  <c r="Z218" i="12" s="1"/>
  <c r="B219" i="12"/>
  <c r="AF217" i="12" l="1"/>
  <c r="Z217" i="12" s="1"/>
  <c r="B218" i="12"/>
  <c r="AF216" i="12" l="1"/>
  <c r="Z216" i="12" s="1"/>
  <c r="B217" i="12"/>
  <c r="AF215" i="12" l="1"/>
  <c r="Z215" i="12" s="1"/>
  <c r="B216" i="12"/>
  <c r="AF214" i="12" l="1"/>
  <c r="Z214" i="12" s="1"/>
  <c r="B215" i="12"/>
  <c r="AF213" i="12" l="1"/>
  <c r="Z213" i="12" s="1"/>
  <c r="B214" i="12"/>
  <c r="AF212" i="12" l="1"/>
  <c r="Z212" i="12" s="1"/>
  <c r="S34" i="12"/>
  <c r="B213" i="12"/>
  <c r="C32" i="13" l="1"/>
  <c r="C58" i="13" s="1"/>
  <c r="U30" i="13"/>
  <c r="U58" i="13" s="1"/>
  <c r="L30" i="13"/>
  <c r="L58" i="13" s="1"/>
  <c r="AF211" i="12"/>
  <c r="Z211" i="12" s="1"/>
  <c r="B212" i="12"/>
  <c r="AF210" i="12" l="1"/>
  <c r="Z210" i="12" s="1"/>
  <c r="B211" i="12"/>
  <c r="AF209" i="12" l="1"/>
  <c r="Z209" i="12" s="1"/>
  <c r="B210" i="12"/>
  <c r="AF208" i="12" l="1"/>
  <c r="Z208" i="12" s="1"/>
  <c r="B209" i="12"/>
  <c r="AF207" i="12" l="1"/>
  <c r="Z207" i="12" s="1"/>
  <c r="B208" i="12"/>
  <c r="AF206" i="12" l="1"/>
  <c r="Z206" i="12" s="1"/>
  <c r="B207" i="12"/>
  <c r="AF205" i="12" l="1"/>
  <c r="Z205" i="12" s="1"/>
  <c r="S33" i="12"/>
  <c r="B206" i="12"/>
  <c r="C31" i="13" l="1"/>
  <c r="C57" i="13" s="1"/>
  <c r="U29" i="13"/>
  <c r="U57" i="13" s="1"/>
  <c r="L29" i="13"/>
  <c r="L57" i="13" s="1"/>
  <c r="AF204" i="12"/>
  <c r="Z204" i="12" s="1"/>
  <c r="B205" i="12"/>
  <c r="AF203" i="12" l="1"/>
  <c r="Z203" i="12" s="1"/>
  <c r="B204" i="12"/>
  <c r="AF202" i="12" l="1"/>
  <c r="Z202" i="12" s="1"/>
  <c r="B203" i="12"/>
  <c r="AF201" i="12" l="1"/>
  <c r="Z201" i="12" s="1"/>
  <c r="B202" i="12"/>
  <c r="AF200" i="12" l="1"/>
  <c r="Z200" i="12" s="1"/>
  <c r="B201" i="12"/>
  <c r="AF199" i="12" l="1"/>
  <c r="Z199" i="12" s="1"/>
  <c r="B200" i="12"/>
  <c r="AF198" i="12" l="1"/>
  <c r="Z198" i="12" s="1"/>
  <c r="S32" i="12"/>
  <c r="B199" i="12"/>
  <c r="AH66" i="12"/>
  <c r="AD66" i="12" s="1"/>
  <c r="C30" i="13" l="1"/>
  <c r="C56" i="13" s="1"/>
  <c r="U28" i="13"/>
  <c r="U56" i="13" s="1"/>
  <c r="L28" i="13"/>
  <c r="L56" i="13" s="1"/>
  <c r="AF197" i="12"/>
  <c r="Z197" i="12" s="1"/>
  <c r="B198" i="12"/>
  <c r="AH67" i="12"/>
  <c r="AD67" i="12" s="1"/>
  <c r="AH65" i="12"/>
  <c r="AD65" i="12" s="1"/>
  <c r="AF196" i="12" l="1"/>
  <c r="Z196" i="12" s="1"/>
  <c r="B197" i="12"/>
  <c r="AH64" i="12"/>
  <c r="AD64" i="12" s="1"/>
  <c r="AF195" i="12" l="1"/>
  <c r="Z195" i="12" s="1"/>
  <c r="B196" i="12"/>
  <c r="AH63" i="12"/>
  <c r="AD63" i="12" s="1"/>
  <c r="AH26" i="12"/>
  <c r="AD26" i="12" s="1"/>
  <c r="AF194" i="12" l="1"/>
  <c r="Z194" i="12" s="1"/>
  <c r="B195" i="12"/>
  <c r="D10" i="13"/>
  <c r="D87" i="13" s="1"/>
  <c r="D86" i="13"/>
  <c r="AH25" i="12"/>
  <c r="AD25" i="12" s="1"/>
  <c r="AH62" i="12"/>
  <c r="AD62" i="12" s="1"/>
  <c r="AF193" i="12" l="1"/>
  <c r="Z193" i="12" s="1"/>
  <c r="B194" i="12"/>
  <c r="AH19" i="12"/>
  <c r="AH24" i="12"/>
  <c r="AD24" i="12" s="1"/>
  <c r="AH59" i="12"/>
  <c r="AD59" i="12" s="1"/>
  <c r="AH60" i="12"/>
  <c r="AD60" i="12" s="1"/>
  <c r="AH61" i="12"/>
  <c r="AD61" i="12" s="1"/>
  <c r="X12" i="12" l="1"/>
  <c r="W8" i="13" s="1"/>
  <c r="AF192" i="12"/>
  <c r="Z192" i="12" s="1"/>
  <c r="B193" i="12"/>
  <c r="AH21" i="12"/>
  <c r="AD21" i="12" s="1"/>
  <c r="AH22" i="12"/>
  <c r="AD22" i="12" s="1"/>
  <c r="AH20" i="12"/>
  <c r="AD20" i="12" s="1"/>
  <c r="X6" i="12" s="1"/>
  <c r="AH23" i="12"/>
  <c r="AD23" i="12" s="1"/>
  <c r="X7" i="12" s="1"/>
  <c r="W85" i="13" l="1"/>
  <c r="W84" i="13"/>
  <c r="AF191" i="12"/>
  <c r="Z191" i="12" s="1"/>
  <c r="S31" i="12"/>
  <c r="B192" i="12"/>
  <c r="C29" i="13" l="1"/>
  <c r="C55" i="13" s="1"/>
  <c r="U27" i="13"/>
  <c r="U55" i="13" s="1"/>
  <c r="L27" i="13"/>
  <c r="L55" i="13" s="1"/>
  <c r="AF190" i="12"/>
  <c r="Z190" i="12" s="1"/>
  <c r="B191" i="12"/>
  <c r="T13" i="12"/>
  <c r="D11" i="13" s="1"/>
  <c r="D88" i="13" s="1"/>
  <c r="AF189" i="12" l="1"/>
  <c r="Z189" i="12" s="1"/>
  <c r="B190" i="12"/>
  <c r="AF188" i="12" l="1"/>
  <c r="Z188" i="12" s="1"/>
  <c r="B189" i="12"/>
  <c r="AF187" i="12" l="1"/>
  <c r="Z187" i="12" s="1"/>
  <c r="B188" i="12"/>
  <c r="AH70" i="12"/>
  <c r="AD70" i="12" s="1"/>
  <c r="AH72" i="12"/>
  <c r="AD72" i="12" s="1"/>
  <c r="AH71" i="12"/>
  <c r="AD71" i="12" s="1"/>
  <c r="AH68" i="12"/>
  <c r="AD68" i="12" s="1"/>
  <c r="AH69" i="12"/>
  <c r="AD69" i="12" s="1"/>
  <c r="X13" i="12" l="1"/>
  <c r="W9" i="13" s="1"/>
  <c r="AF186" i="12"/>
  <c r="Z186" i="12" s="1"/>
  <c r="B187" i="12"/>
  <c r="W86" i="13" l="1"/>
  <c r="AF185" i="12"/>
  <c r="Z185" i="12" s="1"/>
  <c r="B186" i="12"/>
  <c r="AF184" i="12" l="1"/>
  <c r="Z184" i="12" s="1"/>
  <c r="S30" i="12"/>
  <c r="B185" i="12"/>
  <c r="C28" i="13" l="1"/>
  <c r="C105" i="13" s="1"/>
  <c r="U26" i="13"/>
  <c r="U103" i="13" s="1"/>
  <c r="L26" i="13"/>
  <c r="L103" i="13" s="1"/>
  <c r="AF183" i="12"/>
  <c r="Z183" i="12" s="1"/>
  <c r="B184" i="12"/>
  <c r="T14" i="12"/>
  <c r="D12" i="13" s="1"/>
  <c r="D89" i="13" s="1"/>
  <c r="AF182" i="12" l="1"/>
  <c r="Z182" i="12" s="1"/>
  <c r="B183" i="12"/>
  <c r="AF181" i="12" l="1"/>
  <c r="Z181" i="12" s="1"/>
  <c r="B182" i="12"/>
  <c r="AF180" i="12" l="1"/>
  <c r="Z180" i="12" s="1"/>
  <c r="B181" i="12"/>
  <c r="AF179" i="12" l="1"/>
  <c r="Z179" i="12" s="1"/>
  <c r="B180" i="12"/>
  <c r="AH73" i="12"/>
  <c r="AD73" i="12" s="1"/>
  <c r="AF178" i="12" l="1"/>
  <c r="Z178" i="12" s="1"/>
  <c r="B179" i="12"/>
  <c r="AF177" i="12" l="1"/>
  <c r="Z177" i="12" s="1"/>
  <c r="S29" i="12"/>
  <c r="B178" i="12"/>
  <c r="C27" i="13" l="1"/>
  <c r="C104" i="13" s="1"/>
  <c r="U25" i="13"/>
  <c r="U102" i="13" s="1"/>
  <c r="L25" i="13"/>
  <c r="L102" i="13" s="1"/>
  <c r="AF176" i="12"/>
  <c r="Z176" i="12" s="1"/>
  <c r="B177" i="12"/>
  <c r="AH87" i="12"/>
  <c r="AD87" i="12" s="1"/>
  <c r="AH86" i="12"/>
  <c r="AD86" i="12" s="1"/>
  <c r="AF175" i="12" l="1"/>
  <c r="Z175" i="12" s="1"/>
  <c r="B176" i="12"/>
  <c r="AF174" i="12" l="1"/>
  <c r="Z174" i="12" s="1"/>
  <c r="B175" i="12"/>
  <c r="AH85" i="12"/>
  <c r="AD85" i="12" s="1"/>
  <c r="AF173" i="12" l="1"/>
  <c r="Z173" i="12" s="1"/>
  <c r="B174" i="12"/>
  <c r="AH84" i="12"/>
  <c r="AD84" i="12" s="1"/>
  <c r="AF172" i="12" l="1"/>
  <c r="Z172" i="12" s="1"/>
  <c r="B173" i="12"/>
  <c r="AH83" i="12"/>
  <c r="AD83" i="12" s="1"/>
  <c r="AF171" i="12" l="1"/>
  <c r="Z171" i="12" s="1"/>
  <c r="B172" i="12"/>
  <c r="AH82" i="12"/>
  <c r="AD82" i="12" s="1"/>
  <c r="AF170" i="12" l="1"/>
  <c r="Z170" i="12" s="1"/>
  <c r="S28" i="12"/>
  <c r="B171" i="12"/>
  <c r="AH74" i="12"/>
  <c r="AD74" i="12" s="1"/>
  <c r="AH75" i="12"/>
  <c r="AD75" i="12" s="1"/>
  <c r="AH81" i="12"/>
  <c r="AD81" i="12" s="1"/>
  <c r="AH79" i="12"/>
  <c r="AD79" i="12" s="1"/>
  <c r="AH77" i="12"/>
  <c r="AD77" i="12" s="1"/>
  <c r="AH78" i="12"/>
  <c r="AD78" i="12" s="1"/>
  <c r="AH76" i="12"/>
  <c r="AD76" i="12" s="1"/>
  <c r="AH80" i="12"/>
  <c r="AD80" i="12" s="1"/>
  <c r="X14" i="12" l="1"/>
  <c r="W10" i="13" s="1"/>
  <c r="X15" i="12"/>
  <c r="W11" i="13" s="1"/>
  <c r="C26" i="13"/>
  <c r="C103" i="13" s="1"/>
  <c r="U24" i="13"/>
  <c r="U101" i="13" s="1"/>
  <c r="L24" i="13"/>
  <c r="L101" i="13" s="1"/>
  <c r="AF169" i="12"/>
  <c r="Z169" i="12" s="1"/>
  <c r="B170" i="12"/>
  <c r="T15" i="12"/>
  <c r="D13" i="13" s="1"/>
  <c r="D90" i="13" s="1"/>
  <c r="W87" i="13" l="1"/>
  <c r="W88" i="13"/>
  <c r="AF168" i="12"/>
  <c r="Z168" i="12" s="1"/>
  <c r="B169" i="12"/>
  <c r="AF167" i="12" l="1"/>
  <c r="Z167" i="12" s="1"/>
  <c r="B168" i="12"/>
  <c r="AF166" i="12" l="1"/>
  <c r="Z166" i="12" s="1"/>
  <c r="B167" i="12"/>
  <c r="AF165" i="12" l="1"/>
  <c r="Z165" i="12" s="1"/>
  <c r="B166" i="12"/>
  <c r="AF164" i="12" l="1"/>
  <c r="Z164" i="12" s="1"/>
  <c r="B165" i="12"/>
  <c r="AH97" i="12"/>
  <c r="AD97" i="12" s="1"/>
  <c r="AF163" i="12" l="1"/>
  <c r="Z163" i="12" s="1"/>
  <c r="S27" i="12"/>
  <c r="B164" i="12"/>
  <c r="C25" i="13" l="1"/>
  <c r="C102" i="13" s="1"/>
  <c r="U23" i="13"/>
  <c r="U100" i="13" s="1"/>
  <c r="L23" i="13"/>
  <c r="L100" i="13" s="1"/>
  <c r="AF162" i="12"/>
  <c r="Z162" i="12" s="1"/>
  <c r="B163" i="12"/>
  <c r="AF161" i="12" l="1"/>
  <c r="Z161" i="12" s="1"/>
  <c r="B162" i="12"/>
  <c r="AF160" i="12" l="1"/>
  <c r="Z160" i="12" s="1"/>
  <c r="B161" i="12"/>
  <c r="AF159" i="12" l="1"/>
  <c r="Z159" i="12" s="1"/>
  <c r="B160" i="12"/>
  <c r="AF158" i="12" l="1"/>
  <c r="Z158" i="12" s="1"/>
  <c r="B159" i="12"/>
  <c r="AF157" i="12" l="1"/>
  <c r="Z157" i="12" s="1"/>
  <c r="B158" i="12"/>
  <c r="AF156" i="12" l="1"/>
  <c r="Z156" i="12" s="1"/>
  <c r="S26" i="12"/>
  <c r="B157" i="12"/>
  <c r="AH98" i="12"/>
  <c r="AD98" i="12" s="1"/>
  <c r="AH99" i="12"/>
  <c r="AD99" i="12" s="1"/>
  <c r="C24" i="13" l="1"/>
  <c r="C101" i="13" s="1"/>
  <c r="U22" i="13"/>
  <c r="U99" i="13" s="1"/>
  <c r="L22" i="13"/>
  <c r="L99" i="13" s="1"/>
  <c r="AF155" i="12"/>
  <c r="Z155" i="12" s="1"/>
  <c r="B156" i="12"/>
  <c r="AF154" i="12" l="1"/>
  <c r="Z154" i="12" s="1"/>
  <c r="B155" i="12"/>
  <c r="AF153" i="12" l="1"/>
  <c r="Z153" i="12" s="1"/>
  <c r="B154" i="12"/>
  <c r="T16" i="12"/>
  <c r="D14" i="13" s="1"/>
  <c r="D91" i="13" s="1"/>
  <c r="AF152" i="12" l="1"/>
  <c r="Z152" i="12" s="1"/>
  <c r="B153" i="12"/>
  <c r="AH96" i="12"/>
  <c r="AD96" i="12" s="1"/>
  <c r="AF151" i="12" l="1"/>
  <c r="Z151" i="12" s="1"/>
  <c r="B152" i="12"/>
  <c r="AH88" i="12"/>
  <c r="AD88" i="12" s="1"/>
  <c r="AH92" i="12"/>
  <c r="AD92" i="12" s="1"/>
  <c r="AH94" i="12"/>
  <c r="AD94" i="12" s="1"/>
  <c r="AH93" i="12" l="1"/>
  <c r="AD93" i="12" s="1"/>
  <c r="AF150" i="12"/>
  <c r="Z150" i="12" s="1"/>
  <c r="B151" i="12"/>
  <c r="AH95" i="12"/>
  <c r="AD95" i="12" s="1"/>
  <c r="AH91" i="12"/>
  <c r="AD91" i="12" s="1"/>
  <c r="AH90" i="12"/>
  <c r="AD90" i="12" s="1"/>
  <c r="AH89" i="12"/>
  <c r="AD89" i="12" s="1"/>
  <c r="X17" i="12" l="1"/>
  <c r="W13" i="13" s="1"/>
  <c r="W90" i="13" s="1"/>
  <c r="X16" i="12"/>
  <c r="W12" i="13" s="1"/>
  <c r="AF149" i="12"/>
  <c r="Z149" i="12" s="1"/>
  <c r="S25" i="12"/>
  <c r="B150" i="12"/>
  <c r="W89" i="13" l="1"/>
  <c r="C23" i="13"/>
  <c r="C100" i="13" s="1"/>
  <c r="U21" i="13"/>
  <c r="U98" i="13" s="1"/>
  <c r="L21" i="13"/>
  <c r="L98" i="13" s="1"/>
  <c r="AF148" i="12"/>
  <c r="Z148" i="12" s="1"/>
  <c r="B149" i="12"/>
  <c r="AF147" i="12" l="1"/>
  <c r="Z147" i="12" s="1"/>
  <c r="B148" i="12"/>
  <c r="AF146" i="12" l="1"/>
  <c r="Z146" i="12" s="1"/>
  <c r="B147" i="12"/>
  <c r="AF145" i="12" l="1"/>
  <c r="Z145" i="12" s="1"/>
  <c r="B146" i="12"/>
  <c r="AF144" i="12" l="1"/>
  <c r="Z144" i="12" s="1"/>
  <c r="B145" i="12"/>
  <c r="AF143" i="12" l="1"/>
  <c r="Z143" i="12" s="1"/>
  <c r="B144" i="12"/>
  <c r="AF142" i="12" l="1"/>
  <c r="Z142" i="12" s="1"/>
  <c r="S24" i="12"/>
  <c r="B143" i="12"/>
  <c r="C22" i="13" l="1"/>
  <c r="C99" i="13" s="1"/>
  <c r="U20" i="13"/>
  <c r="U97" i="13" s="1"/>
  <c r="L20" i="13"/>
  <c r="L97" i="13" s="1"/>
  <c r="AF141" i="12"/>
  <c r="Z141" i="12" s="1"/>
  <c r="B142" i="12"/>
  <c r="T17" i="12"/>
  <c r="D15" i="13" s="1"/>
  <c r="D92" i="13" s="1"/>
  <c r="AF140" i="12" l="1"/>
  <c r="Z140" i="12" s="1"/>
  <c r="B141" i="12"/>
  <c r="AF139" i="12" l="1"/>
  <c r="Z139" i="12" s="1"/>
  <c r="B140" i="12"/>
  <c r="AF138" i="12" l="1"/>
  <c r="Z138" i="12" s="1"/>
  <c r="B139" i="12"/>
  <c r="AF137" i="12" l="1"/>
  <c r="Z137" i="12" s="1"/>
  <c r="B138" i="12"/>
  <c r="AF136" i="12" l="1"/>
  <c r="Z136" i="12" s="1"/>
  <c r="B137" i="12"/>
  <c r="AF135" i="12" l="1"/>
  <c r="Z135" i="12" s="1"/>
  <c r="S23" i="12"/>
  <c r="B136" i="12"/>
  <c r="C21" i="13" l="1"/>
  <c r="C98" i="13" s="1"/>
  <c r="U19" i="13"/>
  <c r="U96" i="13" s="1"/>
  <c r="L19" i="13"/>
  <c r="L96" i="13" s="1"/>
  <c r="AF134" i="12"/>
  <c r="Z134" i="12" s="1"/>
  <c r="B135" i="12"/>
  <c r="AF133" i="12" l="1"/>
  <c r="Z133" i="12" s="1"/>
  <c r="B134" i="12"/>
  <c r="AF132" i="12" l="1"/>
  <c r="Z132" i="12" s="1"/>
  <c r="B133" i="12"/>
  <c r="AH103" i="12"/>
  <c r="AD103" i="12" s="1"/>
  <c r="AH104" i="12"/>
  <c r="AD104" i="12" s="1"/>
  <c r="AH100" i="12"/>
  <c r="AD100" i="12" s="1"/>
  <c r="AF131" i="12" l="1"/>
  <c r="Z131" i="12" s="1"/>
  <c r="B132" i="12"/>
  <c r="AH101" i="12"/>
  <c r="AD101" i="12" s="1"/>
  <c r="AH105" i="12"/>
  <c r="AD105" i="12" s="1"/>
  <c r="AH102" i="12"/>
  <c r="AD102" i="12" s="1"/>
  <c r="AF130" i="12" l="1"/>
  <c r="Z130" i="12" s="1"/>
  <c r="B131" i="12"/>
  <c r="AF129" i="12" l="1"/>
  <c r="Z129" i="12" s="1"/>
  <c r="B130" i="12"/>
  <c r="AF128" i="12" l="1"/>
  <c r="Z128" i="12" s="1"/>
  <c r="S22" i="12"/>
  <c r="B129" i="12"/>
  <c r="C20" i="13" l="1"/>
  <c r="C97" i="13" s="1"/>
  <c r="U18" i="13"/>
  <c r="U95" i="13" s="1"/>
  <c r="L18" i="13"/>
  <c r="L95" i="13" s="1"/>
  <c r="AF127" i="12"/>
  <c r="Z127" i="12" s="1"/>
  <c r="B128" i="12"/>
  <c r="AF126" i="12" l="1"/>
  <c r="Z126" i="12" s="1"/>
  <c r="B127" i="12"/>
  <c r="AF125" i="12" l="1"/>
  <c r="Z125" i="12" s="1"/>
  <c r="B126" i="12"/>
  <c r="T19" i="12"/>
  <c r="D17" i="13" s="1"/>
  <c r="D94" i="13" s="1"/>
  <c r="T18" i="12"/>
  <c r="D16" i="13" s="1"/>
  <c r="D93" i="13" s="1"/>
  <c r="AF124" i="12" l="1"/>
  <c r="Z124" i="12" s="1"/>
  <c r="B125" i="12"/>
  <c r="AH115" i="12"/>
  <c r="AD115" i="12" s="1"/>
  <c r="AF123" i="12" l="1"/>
  <c r="Z123" i="12" s="1"/>
  <c r="B124" i="12"/>
  <c r="AF122" i="12" l="1"/>
  <c r="Z122" i="12" s="1"/>
  <c r="B123" i="12"/>
  <c r="AF121" i="12" l="1"/>
  <c r="Z121" i="12" s="1"/>
  <c r="S21" i="12"/>
  <c r="B122" i="12"/>
  <c r="C19" i="13" l="1"/>
  <c r="C96" i="13" s="1"/>
  <c r="U17" i="13"/>
  <c r="U94" i="13" s="1"/>
  <c r="L17" i="13"/>
  <c r="L94" i="13" s="1"/>
  <c r="AF120" i="12"/>
  <c r="Z120" i="12" s="1"/>
  <c r="B121" i="12"/>
  <c r="AF119" i="12" l="1"/>
  <c r="Z119" i="12" s="1"/>
  <c r="B120" i="12"/>
  <c r="AF118" i="12" l="1"/>
  <c r="Z118" i="12" s="1"/>
  <c r="B119" i="12"/>
  <c r="AF117" i="12" l="1"/>
  <c r="Z117" i="12" s="1"/>
  <c r="B118" i="12"/>
  <c r="AF116" i="12" l="1"/>
  <c r="Z116" i="12" s="1"/>
  <c r="B117" i="12"/>
  <c r="AF115" i="12" l="1"/>
  <c r="Z115" i="12" s="1"/>
  <c r="B116" i="12"/>
  <c r="AH114" i="12"/>
  <c r="AD114" i="12" s="1"/>
  <c r="AF114" i="12" l="1"/>
  <c r="Z114" i="12" s="1"/>
  <c r="S20" i="12"/>
  <c r="B115" i="12"/>
  <c r="AH109" i="12"/>
  <c r="AD109" i="12" s="1"/>
  <c r="AH111" i="12"/>
  <c r="AD111" i="12" s="1"/>
  <c r="AH113" i="12"/>
  <c r="AD113" i="12" s="1"/>
  <c r="C18" i="13" l="1"/>
  <c r="C95" i="13" s="1"/>
  <c r="U16" i="13"/>
  <c r="U93" i="13" s="1"/>
  <c r="L16" i="13"/>
  <c r="L93" i="13" s="1"/>
  <c r="AH108" i="12"/>
  <c r="AD108" i="12" s="1"/>
  <c r="AF113" i="12"/>
  <c r="Z113" i="12" s="1"/>
  <c r="B114" i="12"/>
  <c r="AH106" i="12"/>
  <c r="AD106" i="12" s="1"/>
  <c r="X18" i="12" s="1"/>
  <c r="W14" i="13" s="1"/>
  <c r="AH107" i="12"/>
  <c r="AD107" i="12" s="1"/>
  <c r="AH112" i="12"/>
  <c r="AD112" i="12" s="1"/>
  <c r="AH110" i="12"/>
  <c r="AD110" i="12" s="1"/>
  <c r="X19" i="12" l="1"/>
  <c r="W15" i="13" s="1"/>
  <c r="W92" i="13" s="1"/>
  <c r="W91" i="13"/>
  <c r="AF112" i="12"/>
  <c r="Z112" i="12" s="1"/>
  <c r="B113" i="12"/>
  <c r="AF111" i="12" l="1"/>
  <c r="Z111" i="12" s="1"/>
  <c r="B112" i="12"/>
  <c r="AF110" i="12" l="1"/>
  <c r="Z110" i="12" s="1"/>
  <c r="B111" i="12"/>
  <c r="AF109" i="12" l="1"/>
  <c r="Z109" i="12" s="1"/>
  <c r="B110" i="12"/>
  <c r="AF108" i="12" l="1"/>
  <c r="Z108" i="12" s="1"/>
  <c r="B109" i="12"/>
  <c r="AF107" i="12" l="1"/>
  <c r="Z107" i="12" s="1"/>
  <c r="S19" i="12"/>
  <c r="B108" i="12"/>
  <c r="C17" i="13" l="1"/>
  <c r="C94" i="13" s="1"/>
  <c r="U15" i="13"/>
  <c r="U92" i="13" s="1"/>
  <c r="L15" i="13"/>
  <c r="L92" i="13" s="1"/>
  <c r="AF106" i="12"/>
  <c r="Z106" i="12" s="1"/>
  <c r="B107" i="12"/>
  <c r="AH124" i="12"/>
  <c r="AD124" i="12" s="1"/>
  <c r="AF105" i="12" l="1"/>
  <c r="Z105" i="12" s="1"/>
  <c r="B106" i="12"/>
  <c r="AF104" i="12" l="1"/>
  <c r="Z104" i="12" s="1"/>
  <c r="B105" i="12"/>
  <c r="AF103" i="12" l="1"/>
  <c r="Z103" i="12" s="1"/>
  <c r="B104" i="12"/>
  <c r="AH125" i="12"/>
  <c r="AD125" i="12" s="1"/>
  <c r="AF102" i="12" l="1"/>
  <c r="Z102" i="12" s="1"/>
  <c r="B103" i="12"/>
  <c r="AF101" i="12" l="1"/>
  <c r="Z101" i="12" s="1"/>
  <c r="B102" i="12"/>
  <c r="AF100" i="12" l="1"/>
  <c r="Z100" i="12" s="1"/>
  <c r="S18" i="12"/>
  <c r="B101" i="12"/>
  <c r="C16" i="13" l="1"/>
  <c r="C93" i="13" s="1"/>
  <c r="U14" i="13"/>
  <c r="U91" i="13" s="1"/>
  <c r="L14" i="13"/>
  <c r="L91" i="13" s="1"/>
  <c r="AF99" i="12"/>
  <c r="Z99" i="12" s="1"/>
  <c r="B100" i="12"/>
  <c r="AF98" i="12" l="1"/>
  <c r="Z98" i="12" s="1"/>
  <c r="B99" i="12"/>
  <c r="AH126" i="12"/>
  <c r="AD126" i="12" s="1"/>
  <c r="AF97" i="12" l="1"/>
  <c r="Z97" i="12" s="1"/>
  <c r="B98" i="12"/>
  <c r="AF96" i="12" l="1"/>
  <c r="Z96" i="12" s="1"/>
  <c r="B97" i="12"/>
  <c r="AF95" i="12" l="1"/>
  <c r="Z95" i="12" s="1"/>
  <c r="B96" i="12"/>
  <c r="AH127" i="12"/>
  <c r="AD127" i="12" s="1"/>
  <c r="AF94" i="12" l="1"/>
  <c r="Z94" i="12" s="1"/>
  <c r="B95" i="12"/>
  <c r="AF93" i="12" l="1"/>
  <c r="Z93" i="12" s="1"/>
  <c r="S17" i="12"/>
  <c r="B94" i="12"/>
  <c r="C15" i="13" l="1"/>
  <c r="C92" i="13" s="1"/>
  <c r="U13" i="13"/>
  <c r="U90" i="13" s="1"/>
  <c r="L13" i="13"/>
  <c r="L90" i="13" s="1"/>
  <c r="AF92" i="12"/>
  <c r="Z92" i="12" s="1"/>
  <c r="B93" i="12"/>
  <c r="AF91" i="12" l="1"/>
  <c r="Z91" i="12" s="1"/>
  <c r="B92" i="12"/>
  <c r="AH128" i="12"/>
  <c r="AD128" i="12" s="1"/>
  <c r="AF90" i="12" l="1"/>
  <c r="Z90" i="12" s="1"/>
  <c r="B91" i="12"/>
  <c r="AF89" i="12" l="1"/>
  <c r="Z89" i="12" s="1"/>
  <c r="B90" i="12"/>
  <c r="AF88" i="12" l="1"/>
  <c r="Z88" i="12" s="1"/>
  <c r="B89" i="12"/>
  <c r="AF87" i="12" l="1"/>
  <c r="Z87" i="12" s="1"/>
  <c r="B88" i="12"/>
  <c r="AH129" i="12"/>
  <c r="AD129" i="12" s="1"/>
  <c r="AH120" i="12"/>
  <c r="AD120" i="12" s="1"/>
  <c r="AH122" i="12"/>
  <c r="AD122" i="12" s="1"/>
  <c r="AH123" i="12"/>
  <c r="AD123" i="12" s="1"/>
  <c r="AH116" i="12"/>
  <c r="AD116" i="12" s="1"/>
  <c r="AF86" i="12" l="1"/>
  <c r="Z86" i="12" s="1"/>
  <c r="S16" i="12"/>
  <c r="B87" i="12"/>
  <c r="AH118" i="12"/>
  <c r="AD118" i="12" s="1"/>
  <c r="T20" i="12"/>
  <c r="D18" i="13" s="1"/>
  <c r="D95" i="13" s="1"/>
  <c r="AH117" i="12"/>
  <c r="AD117" i="12" s="1"/>
  <c r="AH119" i="12"/>
  <c r="AD119" i="12" s="1"/>
  <c r="AH121" i="12"/>
  <c r="AD121" i="12" s="1"/>
  <c r="X21" i="12" s="1"/>
  <c r="W17" i="13" s="1"/>
  <c r="X20" i="12" l="1"/>
  <c r="W16" i="13" s="1"/>
  <c r="W93" i="13" s="1"/>
  <c r="C14" i="13"/>
  <c r="C91" i="13" s="1"/>
  <c r="U12" i="13"/>
  <c r="U89" i="13" s="1"/>
  <c r="L12" i="13"/>
  <c r="L89" i="13" s="1"/>
  <c r="W94" i="13"/>
  <c r="AF85" i="12"/>
  <c r="Z85" i="12" s="1"/>
  <c r="B86" i="12"/>
  <c r="AF84" i="12" l="1"/>
  <c r="Z84" i="12" s="1"/>
  <c r="B85" i="12"/>
  <c r="AH130" i="12"/>
  <c r="AD130" i="12" s="1"/>
  <c r="AF83" i="12" l="1"/>
  <c r="Z83" i="12" s="1"/>
  <c r="B84" i="12"/>
  <c r="AF82" i="12" l="1"/>
  <c r="Z82" i="12" s="1"/>
  <c r="B83" i="12"/>
  <c r="AF81" i="12" l="1"/>
  <c r="Z81" i="12" s="1"/>
  <c r="B82" i="12"/>
  <c r="AH131" i="12"/>
  <c r="AD131" i="12" s="1"/>
  <c r="AF80" i="12" l="1"/>
  <c r="Z80" i="12" s="1"/>
  <c r="B81" i="12"/>
  <c r="AF79" i="12" l="1"/>
  <c r="Z79" i="12" s="1"/>
  <c r="S15" i="12"/>
  <c r="B80" i="12"/>
  <c r="AH132" i="12"/>
  <c r="AD132" i="12" s="1"/>
  <c r="C13" i="13" l="1"/>
  <c r="C90" i="13" s="1"/>
  <c r="U11" i="13"/>
  <c r="U88" i="13" s="1"/>
  <c r="L11" i="13"/>
  <c r="L88" i="13" s="1"/>
  <c r="AF78" i="12"/>
  <c r="Z78" i="12" s="1"/>
  <c r="B79" i="12"/>
  <c r="AF77" i="12" l="1"/>
  <c r="Z77" i="12" s="1"/>
  <c r="B78" i="12"/>
  <c r="AF76" i="12" l="1"/>
  <c r="Z76" i="12" s="1"/>
  <c r="B77" i="12"/>
  <c r="AF75" i="12" l="1"/>
  <c r="Z75" i="12" s="1"/>
  <c r="B76" i="12"/>
  <c r="AF74" i="12" l="1"/>
  <c r="Z74" i="12" s="1"/>
  <c r="B75" i="12"/>
  <c r="AF73" i="12" l="1"/>
  <c r="Z73" i="12" s="1"/>
  <c r="B74" i="12"/>
  <c r="AF72" i="12" l="1"/>
  <c r="Z72" i="12" s="1"/>
  <c r="S14" i="12"/>
  <c r="B73" i="12"/>
  <c r="AH133" i="12"/>
  <c r="AD133" i="12" s="1"/>
  <c r="C12" i="13" l="1"/>
  <c r="C89" i="13" s="1"/>
  <c r="U10" i="13"/>
  <c r="U87" i="13" s="1"/>
  <c r="L10" i="13"/>
  <c r="L87" i="13" s="1"/>
  <c r="AF71" i="12"/>
  <c r="Z71" i="12" s="1"/>
  <c r="B72" i="12"/>
  <c r="AF70" i="12" l="1"/>
  <c r="Z70" i="12" s="1"/>
  <c r="B71" i="12"/>
  <c r="AF69" i="12" l="1"/>
  <c r="Z69" i="12" s="1"/>
  <c r="B70" i="12"/>
  <c r="AH134" i="12"/>
  <c r="AD134" i="12" s="1"/>
  <c r="X22" i="12" s="1"/>
  <c r="W18" i="13" s="1"/>
  <c r="W95" i="13" l="1"/>
  <c r="AF68" i="12"/>
  <c r="Z68" i="12" s="1"/>
  <c r="B69" i="12"/>
  <c r="AF67" i="12" l="1"/>
  <c r="Z67" i="12" s="1"/>
  <c r="B68" i="12"/>
  <c r="AF66" i="12" l="1"/>
  <c r="Z66" i="12" s="1"/>
  <c r="B67" i="12"/>
  <c r="AH135" i="12"/>
  <c r="AD135" i="12" s="1"/>
  <c r="AF65" i="12" l="1"/>
  <c r="Z65" i="12" s="1"/>
  <c r="S13" i="12"/>
  <c r="B66" i="12"/>
  <c r="C11" i="13" l="1"/>
  <c r="C88" i="13" s="1"/>
  <c r="U9" i="13"/>
  <c r="U86" i="13" s="1"/>
  <c r="L9" i="13"/>
  <c r="L86" i="13" s="1"/>
  <c r="AF64" i="12"/>
  <c r="Z64" i="12" s="1"/>
  <c r="B65" i="12"/>
  <c r="T21" i="12"/>
  <c r="D19" i="13" s="1"/>
  <c r="D96" i="13" s="1"/>
  <c r="AH136" i="12"/>
  <c r="AD136" i="12" s="1"/>
  <c r="AF63" i="12" l="1"/>
  <c r="Z63" i="12" s="1"/>
  <c r="B64" i="12"/>
  <c r="AF62" i="12" l="1"/>
  <c r="Z62" i="12" s="1"/>
  <c r="B63" i="12"/>
  <c r="AH137" i="12"/>
  <c r="AD137" i="12" s="1"/>
  <c r="AF61" i="12" l="1"/>
  <c r="Z61" i="12" s="1"/>
  <c r="B62" i="12"/>
  <c r="AF60" i="12" l="1"/>
  <c r="Z60" i="12" s="1"/>
  <c r="B61" i="12"/>
  <c r="AH138" i="12"/>
  <c r="AD138" i="12" s="1"/>
  <c r="AF59" i="12" l="1"/>
  <c r="Z59" i="12" s="1"/>
  <c r="B60" i="12"/>
  <c r="AF58" i="12" s="1"/>
  <c r="Z58" i="12" l="1"/>
  <c r="S12" i="12"/>
  <c r="B59" i="12"/>
  <c r="AF57" i="12" s="1"/>
  <c r="C10" i="13" l="1"/>
  <c r="C87" i="13" s="1"/>
  <c r="U8" i="13"/>
  <c r="U85" i="13" s="1"/>
  <c r="L8" i="13"/>
  <c r="L85" i="13" s="1"/>
  <c r="Z57" i="12"/>
  <c r="B58" i="12"/>
  <c r="AF56" i="12" s="1"/>
  <c r="AH139" i="12"/>
  <c r="AD139" i="12" s="1"/>
  <c r="Z56" i="12" l="1"/>
  <c r="B57" i="12"/>
  <c r="AF55" i="12" s="1"/>
  <c r="AH140" i="12"/>
  <c r="AD140" i="12" s="1"/>
  <c r="Z55" i="12" l="1"/>
  <c r="B56" i="12"/>
  <c r="AF54" i="12" s="1"/>
  <c r="Z54" i="12" s="1"/>
  <c r="B55" i="12" l="1"/>
  <c r="AF53" i="12" s="1"/>
  <c r="Z53" i="12" s="1"/>
  <c r="B54" i="12" l="1"/>
  <c r="A29" i="12"/>
  <c r="A28" i="12" s="1"/>
  <c r="A27" i="12" s="1"/>
  <c r="A26" i="12" s="1"/>
  <c r="A25" i="12" s="1"/>
  <c r="A24" i="12" s="1"/>
  <c r="A23" i="12" s="1"/>
  <c r="A22" i="12" s="1"/>
  <c r="A21" i="12" s="1"/>
  <c r="A20" i="12" s="1"/>
  <c r="A19" i="12" s="1"/>
  <c r="A18" i="12" s="1"/>
  <c r="A17" i="12" s="1"/>
  <c r="A16" i="12" s="1"/>
  <c r="A15" i="12" s="1"/>
  <c r="A14" i="12" s="1"/>
  <c r="A13" i="12" s="1"/>
  <c r="A12" i="12" s="1"/>
  <c r="A11" i="12" s="1"/>
  <c r="A10" i="12" s="1"/>
  <c r="A9" i="12" s="1"/>
  <c r="A8" i="12" s="1"/>
  <c r="A7" i="12" s="1"/>
  <c r="A6" i="12" s="1"/>
  <c r="A5" i="12" s="1"/>
  <c r="B53" i="12" l="1"/>
  <c r="AF52" i="12"/>
  <c r="Z52" i="12" s="1"/>
  <c r="AH141" i="12"/>
  <c r="AD141" i="12" s="1"/>
  <c r="X23" i="12" s="1"/>
  <c r="W19" i="13" s="1"/>
  <c r="B52" i="12" l="1"/>
  <c r="S11" i="12"/>
  <c r="AF51" i="12"/>
  <c r="Z51" i="12" s="1"/>
  <c r="W96" i="13"/>
  <c r="B51" i="12" l="1"/>
  <c r="AF50" i="12"/>
  <c r="Z50" i="12" s="1"/>
  <c r="C86" i="13"/>
  <c r="L84" i="13"/>
  <c r="U84" i="13"/>
  <c r="B50" i="12" l="1"/>
  <c r="AF49" i="12"/>
  <c r="Z49" i="12" s="1"/>
  <c r="B49" i="12" l="1"/>
  <c r="AF48" i="12"/>
  <c r="Z48" i="12" s="1"/>
  <c r="AH142" i="12"/>
  <c r="AD142" i="12" s="1"/>
  <c r="B48" i="12" l="1"/>
  <c r="AF47" i="12"/>
  <c r="Z47" i="12" s="1"/>
  <c r="T22" i="12"/>
  <c r="D20" i="13" s="1"/>
  <c r="D97" i="13" s="1"/>
  <c r="AH143" i="12"/>
  <c r="AD143" i="12" s="1"/>
  <c r="B47" i="12" l="1"/>
  <c r="AF46" i="12"/>
  <c r="Z46" i="12" s="1"/>
  <c r="B46" i="12" l="1"/>
  <c r="AF45" i="12"/>
  <c r="Z45" i="12" s="1"/>
  <c r="AH144" i="12"/>
  <c r="AD144" i="12" s="1"/>
  <c r="B45" i="12" l="1"/>
  <c r="AF44" i="12"/>
  <c r="Z44" i="12" s="1"/>
  <c r="S10" i="12"/>
  <c r="B44" i="12" l="1"/>
  <c r="AF43" i="12"/>
  <c r="Z43" i="12" s="1"/>
  <c r="C85" i="13"/>
  <c r="B43" i="12" l="1"/>
  <c r="AF42" i="12"/>
  <c r="Z42" i="12" s="1"/>
  <c r="AH145" i="12"/>
  <c r="AD145" i="12" s="1"/>
  <c r="AF41" i="12" l="1"/>
  <c r="Z41" i="12" s="1"/>
  <c r="B42" i="12"/>
  <c r="AH146" i="12"/>
  <c r="AD146" i="12" s="1"/>
  <c r="B41" i="12" l="1"/>
  <c r="AF40" i="12"/>
  <c r="Z40" i="12" s="1"/>
  <c r="AH147" i="12"/>
  <c r="AD147" i="12" s="1"/>
  <c r="B40" i="12" l="1"/>
  <c r="AF39" i="12"/>
  <c r="Z39" i="12" s="1"/>
  <c r="C84" i="13"/>
  <c r="B39" i="12" l="1"/>
  <c r="AF38" i="12"/>
  <c r="Z38" i="12" s="1"/>
  <c r="AH148" i="12"/>
  <c r="AD148" i="12" s="1"/>
  <c r="X24" i="12" s="1"/>
  <c r="W20" i="13" s="1"/>
  <c r="B38" i="12" l="1"/>
  <c r="AF37" i="12"/>
  <c r="Z37" i="12" s="1"/>
  <c r="S9" i="12"/>
  <c r="W97" i="13"/>
  <c r="B37" i="12" l="1"/>
  <c r="AF36" i="12"/>
  <c r="Z36" i="12" s="1"/>
  <c r="AH149" i="12"/>
  <c r="AD149" i="12" s="1"/>
  <c r="B36" i="12" l="1"/>
  <c r="AF35" i="12"/>
  <c r="Z35" i="12" s="1"/>
  <c r="T23" i="12"/>
  <c r="D21" i="13" s="1"/>
  <c r="D98" i="13" s="1"/>
  <c r="B35" i="12" l="1"/>
  <c r="AF34" i="12"/>
  <c r="Z34" i="12" s="1"/>
  <c r="AH150" i="12"/>
  <c r="AD150" i="12" s="1"/>
  <c r="B34" i="12" l="1"/>
  <c r="AF33" i="12"/>
  <c r="Z33" i="12" s="1"/>
  <c r="AH151" i="12"/>
  <c r="AD151" i="12" s="1"/>
  <c r="B33" i="12" l="1"/>
  <c r="AF32" i="12"/>
  <c r="Z32" i="12" s="1"/>
  <c r="T24" i="12"/>
  <c r="D22" i="13" s="1"/>
  <c r="D99" i="13" s="1"/>
  <c r="B32" i="12" l="1"/>
  <c r="AF31" i="12"/>
  <c r="Z31" i="12" s="1"/>
  <c r="AH161" i="12"/>
  <c r="AD161" i="12" s="1"/>
  <c r="B31" i="12" l="1"/>
  <c r="AF30" i="12"/>
  <c r="Z30" i="12" s="1"/>
  <c r="S8" i="12"/>
  <c r="AH162" i="12"/>
  <c r="AD162" i="12" s="1"/>
  <c r="B30" i="12" l="1"/>
  <c r="AF29" i="12"/>
  <c r="Z29" i="12" s="1"/>
  <c r="T25" i="12"/>
  <c r="D23" i="13" s="1"/>
  <c r="D100" i="13" s="1"/>
  <c r="AH160" i="12"/>
  <c r="AD160" i="12" s="1"/>
  <c r="B29" i="12" l="1"/>
  <c r="AF28" i="12"/>
  <c r="Z28" i="12" s="1"/>
  <c r="AH157" i="12"/>
  <c r="AD157" i="12" s="1"/>
  <c r="AH153" i="12"/>
  <c r="AD153" i="12" s="1"/>
  <c r="AH154" i="12"/>
  <c r="AD154" i="12" s="1"/>
  <c r="AF27" i="12" l="1"/>
  <c r="Z27" i="12" s="1"/>
  <c r="B28" i="12"/>
  <c r="AH155" i="12"/>
  <c r="AD155" i="12" s="1"/>
  <c r="AH156" i="12"/>
  <c r="AD156" i="12" s="1"/>
  <c r="AH158" i="12"/>
  <c r="AD158" i="12" s="1"/>
  <c r="AH152" i="12"/>
  <c r="AD152" i="12" s="1"/>
  <c r="AH159" i="12"/>
  <c r="AD159" i="12" s="1"/>
  <c r="B27" i="12" l="1"/>
  <c r="AF26" i="12"/>
  <c r="Z26" i="12" s="1"/>
  <c r="X26" i="12"/>
  <c r="W22" i="13" s="1"/>
  <c r="W99" i="13" s="1"/>
  <c r="X25" i="12"/>
  <c r="W21" i="13" s="1"/>
  <c r="AH171" i="12"/>
  <c r="AD171" i="12" s="1"/>
  <c r="B26" i="12" l="1"/>
  <c r="AF25" i="12"/>
  <c r="Z25" i="12" s="1"/>
  <c r="W98" i="13"/>
  <c r="T27" i="12"/>
  <c r="D25" i="13" s="1"/>
  <c r="D102" i="13" s="1"/>
  <c r="T26" i="12"/>
  <c r="D24" i="13" s="1"/>
  <c r="D101" i="13" s="1"/>
  <c r="B25" i="12" l="1"/>
  <c r="AF24" i="12"/>
  <c r="Z24" i="12" s="1"/>
  <c r="AH172" i="12"/>
  <c r="AD172" i="12" s="1"/>
  <c r="B24" i="12" l="1"/>
  <c r="S7" i="12"/>
  <c r="AF23" i="12"/>
  <c r="Z23" i="12" s="1"/>
  <c r="AH173" i="12"/>
  <c r="AD173" i="12" s="1"/>
  <c r="B23" i="12" l="1"/>
  <c r="AF22" i="12"/>
  <c r="Z22" i="12" s="1"/>
  <c r="AH174" i="12"/>
  <c r="AD174" i="12" s="1"/>
  <c r="B22" i="12" l="1"/>
  <c r="AF21" i="12"/>
  <c r="Z21" i="12" s="1"/>
  <c r="AH175" i="12"/>
  <c r="AD175" i="12" s="1"/>
  <c r="B21" i="12" l="1"/>
  <c r="AF20" i="12"/>
  <c r="Z20" i="12" s="1"/>
  <c r="AH176" i="12"/>
  <c r="AD176" i="12" s="1"/>
  <c r="AH167" i="12"/>
  <c r="AD167" i="12" s="1"/>
  <c r="AH163" i="12"/>
  <c r="AD163" i="12" s="1"/>
  <c r="B20" i="12" l="1"/>
  <c r="AF19" i="12"/>
  <c r="AH166" i="12"/>
  <c r="AD166" i="12" s="1"/>
  <c r="AH164" i="12"/>
  <c r="AD164" i="12" s="1"/>
  <c r="AH168" i="12"/>
  <c r="AD168" i="12" s="1"/>
  <c r="AH177" i="12"/>
  <c r="AD177" i="12" s="1"/>
  <c r="AH169" i="12"/>
  <c r="AD169" i="12" s="1"/>
  <c r="AH170" i="12"/>
  <c r="AD170" i="12" s="1"/>
  <c r="X28" i="12" s="1"/>
  <c r="W24" i="13" s="1"/>
  <c r="AH165" i="12"/>
  <c r="AD165" i="12" s="1"/>
  <c r="B19" i="12" l="1"/>
  <c r="B18" i="12" s="1"/>
  <c r="X27" i="12"/>
  <c r="W23" i="13" s="1"/>
  <c r="W100" i="13" s="1"/>
  <c r="W101" i="13"/>
  <c r="AH180" i="12"/>
  <c r="AD180" i="12" s="1"/>
  <c r="B17" i="12" l="1"/>
  <c r="B16" i="12" s="1"/>
  <c r="B15" i="12" s="1"/>
  <c r="B14" i="12" s="1"/>
  <c r="B13" i="12" s="1"/>
  <c r="B12" i="12" s="1"/>
  <c r="B11" i="12" s="1"/>
  <c r="S6" i="12"/>
  <c r="AH178" i="12"/>
  <c r="AD178" i="12" s="1"/>
  <c r="AH179" i="12"/>
  <c r="AD179" i="12" s="1"/>
  <c r="AH181" i="12"/>
  <c r="AD181" i="12" s="1"/>
  <c r="B10" i="12" l="1"/>
  <c r="B9" i="12" s="1"/>
  <c r="B8" i="12" s="1"/>
  <c r="B7" i="12" s="1"/>
  <c r="B6" i="12" s="1"/>
  <c r="B5" i="12" s="1"/>
  <c r="S5" i="12"/>
  <c r="AH182" i="12"/>
  <c r="AD182" i="12" s="1"/>
  <c r="T47" i="12"/>
  <c r="D45" i="13" s="1"/>
  <c r="D71" i="13" s="1"/>
  <c r="T45" i="12"/>
  <c r="D43" i="13" s="1"/>
  <c r="D69" i="13" s="1"/>
  <c r="T43" i="12"/>
  <c r="D41" i="13" s="1"/>
  <c r="D67" i="13" s="1"/>
  <c r="T42" i="12"/>
  <c r="D40" i="13" s="1"/>
  <c r="D66" i="13" s="1"/>
  <c r="T41" i="12"/>
  <c r="D39" i="13" s="1"/>
  <c r="D65" i="13" s="1"/>
  <c r="T38" i="12"/>
  <c r="D36" i="13" s="1"/>
  <c r="D62" i="13" s="1"/>
  <c r="T37" i="12"/>
  <c r="D35" i="13" s="1"/>
  <c r="D61" i="13" s="1"/>
  <c r="T35" i="12"/>
  <c r="D33" i="13" s="1"/>
  <c r="D59" i="13" s="1"/>
  <c r="T34" i="12"/>
  <c r="D32" i="13" s="1"/>
  <c r="D58" i="13" s="1"/>
  <c r="T33" i="12"/>
  <c r="D31" i="13" s="1"/>
  <c r="D57" i="13" s="1"/>
  <c r="T31" i="12"/>
  <c r="D29" i="13" s="1"/>
  <c r="T30" i="12"/>
  <c r="D28" i="13" s="1"/>
  <c r="D105" i="13" s="1"/>
  <c r="D55" i="13" l="1"/>
  <c r="T46" i="12"/>
  <c r="D44" i="13" s="1"/>
  <c r="D70" i="13" s="1"/>
  <c r="T39" i="12"/>
  <c r="D37" i="13" s="1"/>
  <c r="D63" i="13" s="1"/>
  <c r="T40" i="12"/>
  <c r="D38" i="13" s="1"/>
  <c r="D64" i="13" s="1"/>
  <c r="T32" i="12"/>
  <c r="D30" i="13" s="1"/>
  <c r="T36" i="12"/>
  <c r="D34" i="13" s="1"/>
  <c r="D60" i="13" s="1"/>
  <c r="T44" i="12"/>
  <c r="D42" i="13" s="1"/>
  <c r="D68" i="13" s="1"/>
  <c r="T29" i="12"/>
  <c r="D27" i="13" s="1"/>
  <c r="D104" i="13" s="1"/>
  <c r="T28" i="12"/>
  <c r="D26" i="13" s="1"/>
  <c r="D103" i="13" l="1"/>
  <c r="F84" i="13" s="1"/>
  <c r="H84" i="13" s="1"/>
  <c r="I84" i="13" s="1"/>
  <c r="D56" i="13"/>
  <c r="F56" i="13" s="1"/>
  <c r="H56" i="13" s="1"/>
  <c r="I56" i="13" s="1"/>
  <c r="F96" i="13"/>
  <c r="H96" i="13" s="1"/>
  <c r="I96" i="13" s="1"/>
  <c r="F91" i="13"/>
  <c r="H91" i="13" s="1"/>
  <c r="I91" i="13" s="1"/>
  <c r="F92" i="13"/>
  <c r="H92" i="13" s="1"/>
  <c r="I92" i="13" s="1"/>
  <c r="F93" i="13"/>
  <c r="H93" i="13" s="1"/>
  <c r="I93" i="13" s="1"/>
  <c r="F85" i="13"/>
  <c r="H85" i="13" s="1"/>
  <c r="I85" i="13" s="1"/>
  <c r="F88" i="13"/>
  <c r="H88" i="13" s="1"/>
  <c r="I88" i="13" s="1"/>
  <c r="F97" i="13"/>
  <c r="H97" i="13" s="1"/>
  <c r="I97" i="13" s="1"/>
  <c r="D106" i="13"/>
  <c r="D50" i="13"/>
  <c r="AH183" i="12"/>
  <c r="AD183" i="12" s="1"/>
  <c r="X29" i="12" s="1"/>
  <c r="W25" i="13" s="1"/>
  <c r="AH290" i="12"/>
  <c r="AD290" i="12" s="1"/>
  <c r="AH275" i="12"/>
  <c r="AD275" i="12" s="1"/>
  <c r="AH225" i="12"/>
  <c r="AD225" i="12" s="1"/>
  <c r="AH226" i="12"/>
  <c r="AD226" i="12" s="1"/>
  <c r="AH202" i="12"/>
  <c r="AD202" i="12" s="1"/>
  <c r="AH240" i="12"/>
  <c r="AD240" i="12" s="1"/>
  <c r="AH197" i="12"/>
  <c r="AD197" i="12" s="1"/>
  <c r="AH195" i="12"/>
  <c r="AD195" i="12" s="1"/>
  <c r="AH284" i="12"/>
  <c r="AD284" i="12" s="1"/>
  <c r="AH282" i="12"/>
  <c r="AD282" i="12" s="1"/>
  <c r="AH255" i="12"/>
  <c r="AD255" i="12" s="1"/>
  <c r="AH233" i="12"/>
  <c r="AD233" i="12" s="1"/>
  <c r="AH289" i="12"/>
  <c r="AD289" i="12" s="1"/>
  <c r="AH268" i="12"/>
  <c r="AD268" i="12" s="1"/>
  <c r="AH260" i="12"/>
  <c r="AD260" i="12" s="1"/>
  <c r="AH241" i="12"/>
  <c r="AD241" i="12" s="1"/>
  <c r="AH224" i="12"/>
  <c r="AD224" i="12" s="1"/>
  <c r="AH283" i="12"/>
  <c r="AD283" i="12" s="1"/>
  <c r="AH193" i="12"/>
  <c r="AD193" i="12" s="1"/>
  <c r="AH192" i="12"/>
  <c r="AD192" i="12" s="1"/>
  <c r="AH203" i="12"/>
  <c r="AD203" i="12" s="1"/>
  <c r="AH247" i="12"/>
  <c r="AD247" i="12" s="1"/>
  <c r="AH274" i="12"/>
  <c r="AD274" i="12" s="1"/>
  <c r="AH295" i="12"/>
  <c r="AD295" i="12" s="1"/>
  <c r="AH266" i="12"/>
  <c r="AD266" i="12" s="1"/>
  <c r="AH196" i="12"/>
  <c r="AD196" i="12" s="1"/>
  <c r="AH230" i="12"/>
  <c r="AD230" i="12" s="1"/>
  <c r="AH281" i="12"/>
  <c r="AD281" i="12" s="1"/>
  <c r="AH199" i="12"/>
  <c r="AD199" i="12" s="1"/>
  <c r="AH239" i="12"/>
  <c r="AD239" i="12" s="1"/>
  <c r="AH206" i="12"/>
  <c r="AD206" i="12" s="1"/>
  <c r="AH272" i="12"/>
  <c r="AD272" i="12" s="1"/>
  <c r="AH293" i="12"/>
  <c r="AD293" i="12" s="1"/>
  <c r="AH278" i="12"/>
  <c r="AD278" i="12" s="1"/>
  <c r="AH264" i="12"/>
  <c r="AD264" i="12" s="1"/>
  <c r="AH220" i="12"/>
  <c r="AD220" i="12" s="1"/>
  <c r="AH194" i="12"/>
  <c r="AD194" i="12" s="1"/>
  <c r="AH257" i="12"/>
  <c r="AD257" i="12" s="1"/>
  <c r="AH237" i="12"/>
  <c r="AD237" i="12" s="1"/>
  <c r="AH270" i="12"/>
  <c r="AD270" i="12" s="1"/>
  <c r="AH291" i="12"/>
  <c r="AD291" i="12" s="1"/>
  <c r="AH276" i="12"/>
  <c r="AD276" i="12" s="1"/>
  <c r="AH262" i="12"/>
  <c r="AD262" i="12" s="1"/>
  <c r="F33" i="13" l="1"/>
  <c r="H33" i="13" s="1"/>
  <c r="I33" i="13" s="1"/>
  <c r="F7" i="13"/>
  <c r="H7" i="13" s="1"/>
  <c r="I7" i="13" s="1"/>
  <c r="F6" i="13"/>
  <c r="H6" i="13" s="1"/>
  <c r="I6" i="13" s="1"/>
  <c r="F5" i="13"/>
  <c r="H5" i="13" s="1"/>
  <c r="I5" i="13" s="1"/>
  <c r="F4" i="13"/>
  <c r="H4" i="13" s="1"/>
  <c r="I4" i="13" s="1"/>
  <c r="F3" i="13"/>
  <c r="H3" i="13" s="1"/>
  <c r="I3" i="13" s="1"/>
  <c r="F89" i="13"/>
  <c r="H89" i="13" s="1"/>
  <c r="I89" i="13" s="1"/>
  <c r="F95" i="13"/>
  <c r="H95" i="13" s="1"/>
  <c r="I95" i="13" s="1"/>
  <c r="F104" i="13"/>
  <c r="H104" i="13" s="1"/>
  <c r="I104" i="13" s="1"/>
  <c r="F73" i="13"/>
  <c r="H73" i="13" s="1"/>
  <c r="I73" i="13" s="1"/>
  <c r="F71" i="13"/>
  <c r="H71" i="13" s="1"/>
  <c r="I71" i="13" s="1"/>
  <c r="F70" i="13"/>
  <c r="H70" i="13" s="1"/>
  <c r="I70" i="13" s="1"/>
  <c r="F64" i="13"/>
  <c r="H64" i="13" s="1"/>
  <c r="I64" i="13" s="1"/>
  <c r="F94" i="13"/>
  <c r="H94" i="13" s="1"/>
  <c r="I94" i="13" s="1"/>
  <c r="F66" i="13"/>
  <c r="H66" i="13" s="1"/>
  <c r="I66" i="13" s="1"/>
  <c r="F90" i="13"/>
  <c r="H90" i="13" s="1"/>
  <c r="I90" i="13" s="1"/>
  <c r="F86" i="13"/>
  <c r="H86" i="13" s="1"/>
  <c r="I86" i="13" s="1"/>
  <c r="F87" i="13"/>
  <c r="H87" i="13" s="1"/>
  <c r="I87" i="13" s="1"/>
  <c r="W102" i="13"/>
  <c r="F60" i="13"/>
  <c r="H60" i="13" s="1"/>
  <c r="I60" i="13" s="1"/>
  <c r="F72" i="13"/>
  <c r="H72" i="13" s="1"/>
  <c r="I72" i="13" s="1"/>
  <c r="D76" i="13"/>
  <c r="F69" i="13"/>
  <c r="H69" i="13" s="1"/>
  <c r="I69" i="13" s="1"/>
  <c r="F103" i="13"/>
  <c r="H103" i="13" s="1"/>
  <c r="I103" i="13" s="1"/>
  <c r="F101" i="13"/>
  <c r="H101" i="13" s="1"/>
  <c r="I101" i="13" s="1"/>
  <c r="F102" i="13"/>
  <c r="H102" i="13" s="1"/>
  <c r="I102" i="13" s="1"/>
  <c r="F100" i="13"/>
  <c r="H100" i="13" s="1"/>
  <c r="I100" i="13" s="1"/>
  <c r="F99" i="13"/>
  <c r="H99" i="13" s="1"/>
  <c r="I99" i="13" s="1"/>
  <c r="F105" i="13"/>
  <c r="H105" i="13" s="1"/>
  <c r="I105" i="13" s="1"/>
  <c r="F98" i="13"/>
  <c r="H98" i="13" s="1"/>
  <c r="I98" i="13" s="1"/>
  <c r="F67" i="13"/>
  <c r="H67" i="13" s="1"/>
  <c r="I67" i="13" s="1"/>
  <c r="F68" i="13"/>
  <c r="H68" i="13" s="1"/>
  <c r="I68" i="13" s="1"/>
  <c r="F75" i="13"/>
  <c r="H75" i="13" s="1"/>
  <c r="I75" i="13" s="1"/>
  <c r="F58" i="13"/>
  <c r="H58" i="13" s="1"/>
  <c r="I58" i="13" s="1"/>
  <c r="F62" i="13"/>
  <c r="H62" i="13" s="1"/>
  <c r="I62" i="13" s="1"/>
  <c r="F61" i="13"/>
  <c r="H61" i="13" s="1"/>
  <c r="I61" i="13" s="1"/>
  <c r="F74" i="13"/>
  <c r="H74" i="13" s="1"/>
  <c r="I74" i="13" s="1"/>
  <c r="F63" i="13"/>
  <c r="H63" i="13" s="1"/>
  <c r="I63" i="13" s="1"/>
  <c r="F65" i="13"/>
  <c r="H65" i="13" s="1"/>
  <c r="I65" i="13" s="1"/>
  <c r="F59" i="13"/>
  <c r="H59" i="13" s="1"/>
  <c r="I59" i="13" s="1"/>
  <c r="F57" i="13"/>
  <c r="H57" i="13" s="1"/>
  <c r="I57" i="13" s="1"/>
  <c r="F55" i="13"/>
  <c r="H55" i="13" s="1"/>
  <c r="I55" i="13" s="1"/>
  <c r="F21" i="13"/>
  <c r="H21" i="13" s="1"/>
  <c r="I21" i="13" s="1"/>
  <c r="F35" i="13"/>
  <c r="H35" i="13" s="1"/>
  <c r="I35" i="13" s="1"/>
  <c r="F45" i="13"/>
  <c r="H45" i="13" s="1"/>
  <c r="I45" i="13" s="1"/>
  <c r="F40" i="13"/>
  <c r="H40" i="13" s="1"/>
  <c r="I40" i="13" s="1"/>
  <c r="F25" i="13"/>
  <c r="H25" i="13" s="1"/>
  <c r="I25" i="13" s="1"/>
  <c r="F34" i="13"/>
  <c r="H34" i="13" s="1"/>
  <c r="I34" i="13" s="1"/>
  <c r="F44" i="13"/>
  <c r="H44" i="13" s="1"/>
  <c r="I44" i="13" s="1"/>
  <c r="F37" i="13"/>
  <c r="H37" i="13" s="1"/>
  <c r="I37" i="13" s="1"/>
  <c r="F38" i="13"/>
  <c r="H38" i="13" s="1"/>
  <c r="I38" i="13" s="1"/>
  <c r="F29" i="13"/>
  <c r="H29" i="13" s="1"/>
  <c r="I29" i="13" s="1"/>
  <c r="F30" i="13"/>
  <c r="H30" i="13" s="1"/>
  <c r="I30" i="13" s="1"/>
  <c r="F22" i="13"/>
  <c r="H22" i="13" s="1"/>
  <c r="I22" i="13" s="1"/>
  <c r="F27" i="13"/>
  <c r="H27" i="13" s="1"/>
  <c r="I27" i="13" s="1"/>
  <c r="F31" i="13"/>
  <c r="H31" i="13" s="1"/>
  <c r="I31" i="13" s="1"/>
  <c r="F42" i="13"/>
  <c r="H42" i="13" s="1"/>
  <c r="I42" i="13" s="1"/>
  <c r="F8" i="13"/>
  <c r="H8" i="13" s="1"/>
  <c r="I8" i="13" s="1"/>
  <c r="F46" i="13"/>
  <c r="H46" i="13" s="1"/>
  <c r="I46" i="13" s="1"/>
  <c r="F48" i="13"/>
  <c r="H48" i="13" s="1"/>
  <c r="I48" i="13" s="1"/>
  <c r="F49" i="13"/>
  <c r="H49" i="13" s="1"/>
  <c r="I49" i="13" s="1"/>
  <c r="F10" i="13"/>
  <c r="H10" i="13" s="1"/>
  <c r="I10" i="13" s="1"/>
  <c r="F47" i="13"/>
  <c r="H47" i="13" s="1"/>
  <c r="I47" i="13" s="1"/>
  <c r="F9" i="13"/>
  <c r="H9" i="13" s="1"/>
  <c r="I9" i="13" s="1"/>
  <c r="F11" i="13"/>
  <c r="H11" i="13" s="1"/>
  <c r="I11" i="13" s="1"/>
  <c r="F12" i="13"/>
  <c r="H12" i="13" s="1"/>
  <c r="I12" i="13" s="1"/>
  <c r="F13" i="13"/>
  <c r="H13" i="13" s="1"/>
  <c r="I13" i="13" s="1"/>
  <c r="F14" i="13"/>
  <c r="H14" i="13" s="1"/>
  <c r="I14" i="13" s="1"/>
  <c r="F17" i="13"/>
  <c r="H17" i="13" s="1"/>
  <c r="I17" i="13" s="1"/>
  <c r="F15" i="13"/>
  <c r="H15" i="13" s="1"/>
  <c r="I15" i="13" s="1"/>
  <c r="F16" i="13"/>
  <c r="H16" i="13" s="1"/>
  <c r="I16" i="13" s="1"/>
  <c r="F18" i="13"/>
  <c r="H18" i="13" s="1"/>
  <c r="I18" i="13" s="1"/>
  <c r="F19" i="13"/>
  <c r="H19" i="13" s="1"/>
  <c r="I19" i="13" s="1"/>
  <c r="F20" i="13"/>
  <c r="H20" i="13" s="1"/>
  <c r="I20" i="13" s="1"/>
  <c r="F26" i="13"/>
  <c r="H26" i="13" s="1"/>
  <c r="I26" i="13" s="1"/>
  <c r="F28" i="13"/>
  <c r="H28" i="13" s="1"/>
  <c r="I28" i="13" s="1"/>
  <c r="F43" i="13"/>
  <c r="H43" i="13" s="1"/>
  <c r="I43" i="13" s="1"/>
  <c r="F23" i="13"/>
  <c r="H23" i="13" s="1"/>
  <c r="I23" i="13" s="1"/>
  <c r="F24" i="13"/>
  <c r="H24" i="13" s="1"/>
  <c r="I24" i="13" s="1"/>
  <c r="F32" i="13"/>
  <c r="H32" i="13" s="1"/>
  <c r="I32" i="13" s="1"/>
  <c r="F39" i="13"/>
  <c r="H39" i="13" s="1"/>
  <c r="I39" i="13" s="1"/>
  <c r="F36" i="13"/>
  <c r="H36" i="13" s="1"/>
  <c r="I36" i="13" s="1"/>
  <c r="F41" i="13"/>
  <c r="H41" i="13" s="1"/>
  <c r="I41" i="13" s="1"/>
  <c r="AH267" i="12"/>
  <c r="AD267" i="12" s="1"/>
  <c r="AH221" i="12"/>
  <c r="AD221" i="12" s="1"/>
  <c r="AH246" i="12"/>
  <c r="AD246" i="12" s="1"/>
  <c r="AH254" i="12"/>
  <c r="AD254" i="12" s="1"/>
  <c r="AH204" i="12"/>
  <c r="AD204" i="12" s="1"/>
  <c r="AH215" i="12"/>
  <c r="AD215" i="12" s="1"/>
  <c r="AH265" i="12"/>
  <c r="AD265" i="12" s="1"/>
  <c r="AH243" i="12"/>
  <c r="AD243" i="12" s="1"/>
  <c r="AH228" i="12"/>
  <c r="AD228" i="12" s="1"/>
  <c r="AH296" i="12"/>
  <c r="AD296" i="12" s="1"/>
  <c r="X46" i="12" s="1"/>
  <c r="W42" i="13" s="1"/>
  <c r="AH208" i="12"/>
  <c r="AD208" i="12" s="1"/>
  <c r="AH286" i="12"/>
  <c r="AD286" i="12" s="1"/>
  <c r="AH200" i="12"/>
  <c r="AD200" i="12" s="1"/>
  <c r="AH256" i="12"/>
  <c r="AD256" i="12" s="1"/>
  <c r="AH258" i="12"/>
  <c r="AD258" i="12" s="1"/>
  <c r="AH245" i="12"/>
  <c r="AD245" i="12" s="1"/>
  <c r="AH210" i="12"/>
  <c r="AD210" i="12" s="1"/>
  <c r="AH236" i="12"/>
  <c r="AD236" i="12" s="1"/>
  <c r="AH248" i="12"/>
  <c r="AD248" i="12" s="1"/>
  <c r="AH213" i="12"/>
  <c r="AD213" i="12" s="1"/>
  <c r="AH227" i="12"/>
  <c r="AD227" i="12" s="1"/>
  <c r="AH292" i="12"/>
  <c r="AD292" i="12" s="1"/>
  <c r="AH211" i="12"/>
  <c r="AD211" i="12" s="1"/>
  <c r="AH280" i="12"/>
  <c r="AD280" i="12" s="1"/>
  <c r="AH249" i="12"/>
  <c r="AD249" i="12" s="1"/>
  <c r="AH252" i="12"/>
  <c r="AD252" i="12" s="1"/>
  <c r="AH271" i="12"/>
  <c r="AD271" i="12" s="1"/>
  <c r="AH216" i="12"/>
  <c r="AD216" i="12" s="1"/>
  <c r="AH231" i="12"/>
  <c r="AD231" i="12" s="1"/>
  <c r="AH234" i="12"/>
  <c r="AD234" i="12" s="1"/>
  <c r="AH238" i="12"/>
  <c r="AD238" i="12" s="1"/>
  <c r="AH184" i="12"/>
  <c r="AD184" i="12" s="1"/>
  <c r="AH205" i="12"/>
  <c r="AD205" i="12" s="1"/>
  <c r="AH219" i="12"/>
  <c r="AD219" i="12" s="1"/>
  <c r="AH187" i="12"/>
  <c r="AD187" i="12" s="1"/>
  <c r="AH277" i="12"/>
  <c r="AD277" i="12" s="1"/>
  <c r="AH189" i="12"/>
  <c r="AD189" i="12" s="1"/>
  <c r="AH201" i="12"/>
  <c r="AD201" i="12" s="1"/>
  <c r="AH190" i="12"/>
  <c r="AD190" i="12" s="1"/>
  <c r="AH242" i="12"/>
  <c r="AD242" i="12" s="1"/>
  <c r="AH261" i="12"/>
  <c r="AD261" i="12" s="1"/>
  <c r="AH188" i="12"/>
  <c r="AD188" i="12" s="1"/>
  <c r="AH191" i="12"/>
  <c r="AD191" i="12" s="1"/>
  <c r="X31" i="12" s="1"/>
  <c r="W27" i="13" s="1"/>
  <c r="AH229" i="12"/>
  <c r="AD229" i="12" s="1"/>
  <c r="AH294" i="12"/>
  <c r="AD294" i="12" s="1"/>
  <c r="AH212" i="12"/>
  <c r="AD212" i="12" s="1"/>
  <c r="AH285" i="12"/>
  <c r="AD285" i="12" s="1"/>
  <c r="AH259" i="12"/>
  <c r="AD259" i="12" s="1"/>
  <c r="AH185" i="12"/>
  <c r="AD185" i="12" s="1"/>
  <c r="AH217" i="12"/>
  <c r="AD217" i="12" s="1"/>
  <c r="AH279" i="12"/>
  <c r="AD279" i="12" s="1"/>
  <c r="AH207" i="12"/>
  <c r="AD207" i="12" s="1"/>
  <c r="AH250" i="12"/>
  <c r="AD250" i="12" s="1"/>
  <c r="AH269" i="12"/>
  <c r="AD269" i="12" s="1"/>
  <c r="AH251" i="12"/>
  <c r="AD251" i="12" s="1"/>
  <c r="AH209" i="12"/>
  <c r="AD209" i="12" s="1"/>
  <c r="AH253" i="12"/>
  <c r="AD253" i="12" s="1"/>
  <c r="AH214" i="12"/>
  <c r="AD214" i="12" s="1"/>
  <c r="AH273" i="12"/>
  <c r="AD273" i="12" s="1"/>
  <c r="AH218" i="12"/>
  <c r="AD218" i="12" s="1"/>
  <c r="AH186" i="12"/>
  <c r="AD186" i="12" s="1"/>
  <c r="AH222" i="12"/>
  <c r="AD222" i="12" s="1"/>
  <c r="AH244" i="12"/>
  <c r="AD244" i="12" s="1"/>
  <c r="AH263" i="12"/>
  <c r="AD263" i="12" s="1"/>
  <c r="AH232" i="12"/>
  <c r="AD232" i="12" s="1"/>
  <c r="AH287" i="12"/>
  <c r="AD287" i="12" s="1"/>
  <c r="AH198" i="12"/>
  <c r="AD198" i="12" s="1"/>
  <c r="AH223" i="12"/>
  <c r="AD223" i="12" s="1"/>
  <c r="AH235" i="12"/>
  <c r="AD235" i="12" s="1"/>
  <c r="AH288" i="12"/>
  <c r="AD288" i="12" s="1"/>
  <c r="X32" i="12" l="1"/>
  <c r="W28" i="13" s="1"/>
  <c r="W56" i="13" s="1"/>
  <c r="X42" i="12"/>
  <c r="W38" i="13" s="1"/>
  <c r="W66" i="13" s="1"/>
  <c r="X45" i="12"/>
  <c r="W41" i="13" s="1"/>
  <c r="W69" i="13" s="1"/>
  <c r="X44" i="12"/>
  <c r="W40" i="13" s="1"/>
  <c r="W68" i="13" s="1"/>
  <c r="X39" i="12"/>
  <c r="W35" i="13" s="1"/>
  <c r="W63" i="13" s="1"/>
  <c r="X37" i="12"/>
  <c r="W33" i="13" s="1"/>
  <c r="W61" i="13" s="1"/>
  <c r="X36" i="12"/>
  <c r="W32" i="13" s="1"/>
  <c r="W60" i="13" s="1"/>
  <c r="X38" i="12"/>
  <c r="W34" i="13" s="1"/>
  <c r="W62" i="13" s="1"/>
  <c r="X43" i="12"/>
  <c r="W39" i="13" s="1"/>
  <c r="W67" i="13" s="1"/>
  <c r="F76" i="13"/>
  <c r="X34" i="12"/>
  <c r="W30" i="13" s="1"/>
  <c r="X35" i="12"/>
  <c r="W31" i="13" s="1"/>
  <c r="W70" i="13"/>
  <c r="I77" i="13"/>
  <c r="E77" i="13" s="1"/>
  <c r="W55" i="13"/>
  <c r="X41" i="12"/>
  <c r="W37" i="13" s="1"/>
  <c r="X33" i="12"/>
  <c r="W29" i="13" s="1"/>
  <c r="I107" i="13"/>
  <c r="E107" i="13" s="1"/>
  <c r="X30" i="12"/>
  <c r="W26" i="13" s="1"/>
  <c r="Y3" i="13" s="1"/>
  <c r="Z3" i="13" s="1"/>
  <c r="AA3" i="13" s="1"/>
  <c r="X40" i="12"/>
  <c r="W36" i="13" s="1"/>
  <c r="F106" i="13"/>
  <c r="I51" i="13"/>
  <c r="E51" i="13" s="1"/>
  <c r="F50" i="13"/>
  <c r="Y5" i="13" l="1"/>
  <c r="Z5" i="13" s="1"/>
  <c r="AA5" i="13" s="1"/>
  <c r="Y6" i="13"/>
  <c r="Z6" i="13" s="1"/>
  <c r="AA6" i="13" s="1"/>
  <c r="Y4" i="13"/>
  <c r="Z4" i="13" s="1"/>
  <c r="AA4" i="13" s="1"/>
  <c r="Y7" i="13"/>
  <c r="Z7" i="13" s="1"/>
  <c r="AA7" i="13" s="1"/>
  <c r="Y35" i="13"/>
  <c r="Z35" i="13" s="1"/>
  <c r="AA35" i="13" s="1"/>
  <c r="Y18" i="13"/>
  <c r="Z18" i="13" s="1"/>
  <c r="AA18" i="13" s="1"/>
  <c r="Y27" i="13"/>
  <c r="Z27" i="13" s="1"/>
  <c r="AA27" i="13" s="1"/>
  <c r="Y17" i="13"/>
  <c r="Z17" i="13" s="1"/>
  <c r="AA17" i="13" s="1"/>
  <c r="Y13" i="13"/>
  <c r="Z13" i="13" s="1"/>
  <c r="AA13" i="13" s="1"/>
  <c r="Y8" i="13"/>
  <c r="Z8" i="13" s="1"/>
  <c r="AA8" i="13" s="1"/>
  <c r="Y42" i="13"/>
  <c r="Z42" i="13" s="1"/>
  <c r="AA42" i="13" s="1"/>
  <c r="Y39" i="13"/>
  <c r="Z39" i="13" s="1"/>
  <c r="AA39" i="13" s="1"/>
  <c r="Y38" i="13"/>
  <c r="Z38" i="13" s="1"/>
  <c r="AA38" i="13" s="1"/>
  <c r="Y41" i="13"/>
  <c r="Z41" i="13" s="1"/>
  <c r="AA41" i="13" s="1"/>
  <c r="W103" i="13"/>
  <c r="Y26" i="13"/>
  <c r="Z26" i="13" s="1"/>
  <c r="AA26" i="13" s="1"/>
  <c r="Y25" i="13"/>
  <c r="Z25" i="13" s="1"/>
  <c r="AA25" i="13" s="1"/>
  <c r="Y23" i="13"/>
  <c r="Z23" i="13" s="1"/>
  <c r="AA23" i="13" s="1"/>
  <c r="Y24" i="13"/>
  <c r="Z24" i="13" s="1"/>
  <c r="AA24" i="13" s="1"/>
  <c r="Y22" i="13"/>
  <c r="Z22" i="13" s="1"/>
  <c r="AA22" i="13" s="1"/>
  <c r="Y21" i="13"/>
  <c r="Z21" i="13" s="1"/>
  <c r="AA21" i="13" s="1"/>
  <c r="Y20" i="13"/>
  <c r="Z20" i="13" s="1"/>
  <c r="AA20" i="13" s="1"/>
  <c r="W57" i="13"/>
  <c r="Y29" i="13"/>
  <c r="Z29" i="13" s="1"/>
  <c r="AA29" i="13" s="1"/>
  <c r="Y14" i="13"/>
  <c r="Z14" i="13" s="1"/>
  <c r="AA14" i="13" s="1"/>
  <c r="Y11" i="13"/>
  <c r="Z11" i="13" s="1"/>
  <c r="AA11" i="13" s="1"/>
  <c r="Y19" i="13"/>
  <c r="Z19" i="13" s="1"/>
  <c r="AA19" i="13" s="1"/>
  <c r="Y15" i="13"/>
  <c r="Z15" i="13" s="1"/>
  <c r="AA15" i="13" s="1"/>
  <c r="Y9" i="13"/>
  <c r="Z9" i="13" s="1"/>
  <c r="AA9" i="13" s="1"/>
  <c r="W43" i="13"/>
  <c r="W59" i="13"/>
  <c r="Y31" i="13"/>
  <c r="Z31" i="13" s="1"/>
  <c r="AA31" i="13" s="1"/>
  <c r="Y34" i="13"/>
  <c r="Z34" i="13" s="1"/>
  <c r="AA34" i="13" s="1"/>
  <c r="Y32" i="13"/>
  <c r="Z32" i="13" s="1"/>
  <c r="AA32" i="13" s="1"/>
  <c r="Y33" i="13"/>
  <c r="Z33" i="13" s="1"/>
  <c r="AA33" i="13" s="1"/>
  <c r="Y40" i="13"/>
  <c r="Z40" i="13" s="1"/>
  <c r="AA40" i="13" s="1"/>
  <c r="W64" i="13"/>
  <c r="Y36" i="13"/>
  <c r="Z36" i="13" s="1"/>
  <c r="AA36" i="13" s="1"/>
  <c r="Y28" i="13"/>
  <c r="Z28" i="13" s="1"/>
  <c r="AA28" i="13" s="1"/>
  <c r="W65" i="13"/>
  <c r="Y37" i="13"/>
  <c r="Z37" i="13" s="1"/>
  <c r="AA37" i="13" s="1"/>
  <c r="Y16" i="13"/>
  <c r="Z16" i="13" s="1"/>
  <c r="AA16" i="13" s="1"/>
  <c r="Y12" i="13"/>
  <c r="Z12" i="13" s="1"/>
  <c r="AA12" i="13" s="1"/>
  <c r="Y10" i="13"/>
  <c r="Z10" i="13" s="1"/>
  <c r="AA10" i="13" s="1"/>
  <c r="W58" i="13"/>
  <c r="Y30" i="13"/>
  <c r="Z30" i="13" s="1"/>
  <c r="AA30" i="13" s="1"/>
  <c r="Y61" i="13" l="1"/>
  <c r="Z61" i="13" s="1"/>
  <c r="AA61" i="13" s="1"/>
  <c r="Y62" i="13"/>
  <c r="Z62" i="13" s="1"/>
  <c r="AA62" i="13" s="1"/>
  <c r="Y58" i="13"/>
  <c r="Z58" i="13" s="1"/>
  <c r="AA58" i="13" s="1"/>
  <c r="Y56" i="13"/>
  <c r="Z56" i="13" s="1"/>
  <c r="AA56" i="13" s="1"/>
  <c r="Y68" i="13"/>
  <c r="Z68" i="13" s="1"/>
  <c r="AA68" i="13" s="1"/>
  <c r="Y60" i="13"/>
  <c r="Z60" i="13" s="1"/>
  <c r="AA60" i="13" s="1"/>
  <c r="Y55" i="13"/>
  <c r="Z55" i="13" s="1"/>
  <c r="AA55" i="13" s="1"/>
  <c r="Y43" i="13"/>
  <c r="AA44" i="13"/>
  <c r="W44" i="13" s="1"/>
  <c r="W71" i="13"/>
  <c r="Y65" i="13"/>
  <c r="Z65" i="13" s="1"/>
  <c r="AA65" i="13" s="1"/>
  <c r="Y66" i="13"/>
  <c r="Z66" i="13" s="1"/>
  <c r="AA66" i="13" s="1"/>
  <c r="Y59" i="13"/>
  <c r="Z59" i="13" s="1"/>
  <c r="AA59" i="13" s="1"/>
  <c r="Y67" i="13"/>
  <c r="Z67" i="13" s="1"/>
  <c r="AA67" i="13" s="1"/>
  <c r="Y63" i="13"/>
  <c r="Z63" i="13" s="1"/>
  <c r="AA63" i="13" s="1"/>
  <c r="Y70" i="13"/>
  <c r="Z70" i="13" s="1"/>
  <c r="AA70" i="13" s="1"/>
  <c r="Y64" i="13"/>
  <c r="Z64" i="13" s="1"/>
  <c r="AA64" i="13" s="1"/>
  <c r="Y69" i="13"/>
  <c r="Z69" i="13" s="1"/>
  <c r="AA69" i="13" s="1"/>
  <c r="Y57" i="13"/>
  <c r="Z57" i="13" s="1"/>
  <c r="AA57" i="13" s="1"/>
  <c r="Y103" i="13"/>
  <c r="Z103" i="13" s="1"/>
  <c r="AA103" i="13" s="1"/>
  <c r="Y85" i="13"/>
  <c r="Z85" i="13" s="1"/>
  <c r="AA85" i="13" s="1"/>
  <c r="Y84" i="13"/>
  <c r="Z84" i="13" s="1"/>
  <c r="AA84" i="13" s="1"/>
  <c r="W104" i="13"/>
  <c r="Y88" i="13"/>
  <c r="Z88" i="13" s="1"/>
  <c r="AA88" i="13" s="1"/>
  <c r="Y86" i="13"/>
  <c r="Z86" i="13" s="1"/>
  <c r="AA86" i="13" s="1"/>
  <c r="Y90" i="13"/>
  <c r="Z90" i="13" s="1"/>
  <c r="AA90" i="13" s="1"/>
  <c r="Y87" i="13"/>
  <c r="Z87" i="13" s="1"/>
  <c r="AA87" i="13" s="1"/>
  <c r="Y89" i="13"/>
  <c r="Z89" i="13" s="1"/>
  <c r="AA89" i="13" s="1"/>
  <c r="Y92" i="13"/>
  <c r="Z92" i="13" s="1"/>
  <c r="AA92" i="13" s="1"/>
  <c r="Y94" i="13"/>
  <c r="Z94" i="13" s="1"/>
  <c r="AA94" i="13" s="1"/>
  <c r="Y91" i="13"/>
  <c r="Z91" i="13" s="1"/>
  <c r="AA91" i="13" s="1"/>
  <c r="Y93" i="13"/>
  <c r="Z93" i="13" s="1"/>
  <c r="AA93" i="13" s="1"/>
  <c r="Y95" i="13"/>
  <c r="Z95" i="13" s="1"/>
  <c r="AA95" i="13" s="1"/>
  <c r="Y98" i="13"/>
  <c r="Z98" i="13" s="1"/>
  <c r="AA98" i="13" s="1"/>
  <c r="Y96" i="13"/>
  <c r="Z96" i="13" s="1"/>
  <c r="AA96" i="13" s="1"/>
  <c r="Y100" i="13"/>
  <c r="Z100" i="13" s="1"/>
  <c r="AA100" i="13" s="1"/>
  <c r="Y102" i="13"/>
  <c r="Z102" i="13" s="1"/>
  <c r="AA102" i="13" s="1"/>
  <c r="Y99" i="13"/>
  <c r="Z99" i="13" s="1"/>
  <c r="AA99" i="13" s="1"/>
  <c r="Y97" i="13"/>
  <c r="Z97" i="13" s="1"/>
  <c r="AA97" i="13" s="1"/>
  <c r="Y101" i="13"/>
  <c r="Z101" i="13" s="1"/>
  <c r="AA101" i="13" s="1"/>
  <c r="AA105" i="13" l="1"/>
  <c r="W105" i="13" s="1"/>
  <c r="Y104" i="13"/>
  <c r="Y71" i="13"/>
  <c r="AA72" i="13"/>
  <c r="W72" i="13" s="1"/>
</calcChain>
</file>

<file path=xl/comments1.xml><?xml version="1.0" encoding="utf-8"?>
<comments xmlns="http://schemas.openxmlformats.org/spreadsheetml/2006/main">
  <authors>
    <author>Müller</author>
  </authors>
  <commentList>
    <comment ref="J9" authorId="0" shapeId="0">
      <text>
        <r>
          <rPr>
            <b/>
            <sz val="9"/>
            <color indexed="81"/>
            <rFont val="Segoe UI"/>
            <family val="2"/>
          </rPr>
          <t>Müller: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<sst xmlns="http://schemas.openxmlformats.org/spreadsheetml/2006/main" count="86" uniqueCount="42">
  <si>
    <t>Tote</t>
  </si>
  <si>
    <t>intensiv</t>
  </si>
  <si>
    <t>bestätigte</t>
  </si>
  <si>
    <t>Fälle</t>
  </si>
  <si>
    <t>aktuell:</t>
  </si>
  <si>
    <t>Genesene</t>
  </si>
  <si>
    <t>Tests</t>
  </si>
  <si>
    <t>pos. getestet</t>
  </si>
  <si>
    <t>RKI</t>
  </si>
  <si>
    <t>Dunkelfeld</t>
  </si>
  <si>
    <t>Hellfeld</t>
  </si>
  <si>
    <t>DIVI</t>
  </si>
  <si>
    <t>Anzahl</t>
  </si>
  <si>
    <t>falsch pos.</t>
  </si>
  <si>
    <t>je 1 Mio.</t>
  </si>
  <si>
    <t>Summe</t>
  </si>
  <si>
    <t>Durchschn.</t>
  </si>
  <si>
    <t>pro Woche</t>
  </si>
  <si>
    <t>kumuliert</t>
  </si>
  <si>
    <t>auf Intensiv-</t>
  </si>
  <si>
    <t>station gestorben</t>
  </si>
  <si>
    <t>lt. RKI</t>
  </si>
  <si>
    <t>Dunikelziffer</t>
  </si>
  <si>
    <t>Dunkelfeld + Hellfeld + Tests</t>
  </si>
  <si>
    <t>Summe:</t>
  </si>
  <si>
    <t>RKI vom 20.03.20</t>
  </si>
  <si>
    <t>Korrelation:</t>
  </si>
  <si>
    <t>bis 09.08.</t>
  </si>
  <si>
    <t>ab 16.08.</t>
  </si>
  <si>
    <t>gesamt</t>
  </si>
  <si>
    <t>genesen</t>
  </si>
  <si>
    <t>Krankenhaus</t>
  </si>
  <si>
    <t>Intensivst.</t>
  </si>
  <si>
    <t>gestorben</t>
  </si>
  <si>
    <t>bis 09,08,</t>
  </si>
  <si>
    <t>ab 10.08</t>
  </si>
  <si>
    <t>Annahme</t>
  </si>
  <si>
    <t>bis 19.01.</t>
  </si>
  <si>
    <t>15.11.</t>
  </si>
  <si>
    <t>Daten</t>
  </si>
  <si>
    <t>sonst. Tote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</si>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</sst>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#,##0.00&quot; &quot;[$€-C0A];[Red]&quot;-&quot;#,##0.00&quot; &quot;[$€-C0A]"/>
    <numFmt numFmtId="166" formatCode="#&quot; &quot;##0&quot; &quot;;&quot;-&quot;#&quot; &quot;##0&quot;)&quot;"/>
    <numFmt numFmtId="167" formatCode="dd/mm/yy;@"/>
    <numFmt numFmtId="168" formatCode="#,##0.0"/>
  </numFmts>
  <fonts count="37">
    <font>
      <sz val="11"/>
      <color rgb="FF000000"/>
      <name val="Arial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2"/>
      <color rgb="FF000000"/>
      <name val="Arial MT"/>
    </font>
    <font>
      <sz val="10"/>
      <color rgb="FF000000"/>
      <name val="Arial"/>
      <family val="2"/>
    </font>
    <font>
      <sz val="10"/>
      <color rgb="FF000000"/>
      <name val="Arial1"/>
    </font>
    <font>
      <sz val="12"/>
      <color rgb="FF000000"/>
      <name val="Times New Roman1"/>
    </font>
    <font>
      <sz val="11"/>
      <color rgb="FF000000"/>
      <name val="Arial1"/>
    </font>
    <font>
      <sz val="11"/>
      <color theme="1"/>
      <name val="MetaNormalLF-Roman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3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7">
    <xf numFmtId="0" fontId="0" fillId="0" borderId="0"/>
    <xf numFmtId="0" fontId="10" fillId="2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165" fontId="12" fillId="0" borderId="0"/>
    <xf numFmtId="166" fontId="13" fillId="0" borderId="0"/>
    <xf numFmtId="0" fontId="14" fillId="0" borderId="0"/>
    <xf numFmtId="0" fontId="15" fillId="0" borderId="0"/>
    <xf numFmtId="0" fontId="14" fillId="0" borderId="0"/>
    <xf numFmtId="9" fontId="17" fillId="0" borderId="0" applyFont="0" applyFill="0" applyBorder="0" applyAlignment="0" applyProtection="0"/>
    <xf numFmtId="0" fontId="18" fillId="0" borderId="0"/>
    <xf numFmtId="0" fontId="18" fillId="0" borderId="0"/>
    <xf numFmtId="0" fontId="9" fillId="0" borderId="0"/>
    <xf numFmtId="0" fontId="8" fillId="0" borderId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4" applyNumberFormat="0" applyAlignment="0" applyProtection="0"/>
    <xf numFmtId="0" fontId="26" fillId="7" borderId="5" applyNumberFormat="0" applyAlignment="0" applyProtection="0"/>
    <xf numFmtId="0" fontId="27" fillId="7" borderId="4" applyNumberFormat="0" applyAlignment="0" applyProtection="0"/>
    <xf numFmtId="0" fontId="28" fillId="0" borderId="6" applyNumberFormat="0" applyFill="0" applyAlignment="0" applyProtection="0"/>
    <xf numFmtId="0" fontId="29" fillId="8" borderId="7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34" fillId="5" borderId="0" applyNumberFormat="0" applyBorder="0" applyAlignment="0" applyProtection="0"/>
    <xf numFmtId="0" fontId="7" fillId="9" borderId="8" applyNumberFormat="0" applyFont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9" borderId="8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9" borderId="8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8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5">
    <xf numFmtId="0" fontId="0" fillId="0" borderId="0" xfId="0"/>
    <xf numFmtId="3" fontId="0" fillId="0" borderId="0" xfId="0" applyNumberFormat="1"/>
    <xf numFmtId="14" fontId="0" fillId="0" borderId="0" xfId="0" applyNumberFormat="1"/>
    <xf numFmtId="10" fontId="0" fillId="0" borderId="0" xfId="0" applyNumberFormat="1"/>
    <xf numFmtId="3" fontId="16" fillId="0" borderId="0" xfId="0" applyNumberFormat="1" applyFont="1"/>
    <xf numFmtId="10" fontId="16" fillId="0" borderId="0" xfId="0" applyNumberFormat="1" applyFont="1"/>
    <xf numFmtId="164" fontId="0" fillId="0" borderId="0" xfId="10" applyNumberFormat="1" applyFont="1"/>
    <xf numFmtId="3" fontId="0" fillId="0" borderId="0" xfId="10" applyNumberFormat="1" applyFont="1"/>
    <xf numFmtId="164" fontId="16" fillId="0" borderId="0" xfId="10" applyNumberFormat="1" applyFont="1"/>
    <xf numFmtId="0" fontId="10" fillId="0" borderId="0" xfId="0" applyFont="1" applyAlignment="1">
      <alignment vertical="center"/>
    </xf>
    <xf numFmtId="167" fontId="0" fillId="0" borderId="0" xfId="0" applyNumberFormat="1"/>
    <xf numFmtId="3" fontId="16" fillId="0" borderId="0" xfId="10" applyNumberFormat="1" applyFont="1"/>
    <xf numFmtId="168" fontId="0" fillId="0" borderId="0" xfId="0" applyNumberFormat="1"/>
    <xf numFmtId="0" fontId="0" fillId="0" borderId="0" xfId="0" applyBorder="1"/>
    <xf numFmtId="3" fontId="0" fillId="0" borderId="0" xfId="0" applyNumberFormat="1" applyBorder="1"/>
  </cellXfs>
  <cellStyles count="177">
    <cellStyle name="20 % - Akzent1" xfId="31" builtinId="30" customBuiltin="1"/>
    <cellStyle name="20 % - Akzent1 2" xfId="59"/>
    <cellStyle name="20 % - Akzent1 3" xfId="79"/>
    <cellStyle name="20 % - Akzent1 4" xfId="99"/>
    <cellStyle name="20 % - Akzent1 5" xfId="119"/>
    <cellStyle name="20 % - Akzent1 6" xfId="139"/>
    <cellStyle name="20 % - Akzent1 7" xfId="159"/>
    <cellStyle name="20 % - Akzent2" xfId="34" builtinId="34" customBuiltin="1"/>
    <cellStyle name="20 % - Akzent2 2" xfId="62"/>
    <cellStyle name="20 % - Akzent2 3" xfId="82"/>
    <cellStyle name="20 % - Akzent2 4" xfId="102"/>
    <cellStyle name="20 % - Akzent2 5" xfId="122"/>
    <cellStyle name="20 % - Akzent2 6" xfId="142"/>
    <cellStyle name="20 % - Akzent2 7" xfId="162"/>
    <cellStyle name="20 % - Akzent3" xfId="37" builtinId="38" customBuiltin="1"/>
    <cellStyle name="20 % - Akzent3 2" xfId="65"/>
    <cellStyle name="20 % - Akzent3 3" xfId="85"/>
    <cellStyle name="20 % - Akzent3 4" xfId="105"/>
    <cellStyle name="20 % - Akzent3 5" xfId="125"/>
    <cellStyle name="20 % - Akzent3 6" xfId="145"/>
    <cellStyle name="20 % - Akzent3 7" xfId="165"/>
    <cellStyle name="20 % - Akzent4" xfId="40" builtinId="42" customBuiltin="1"/>
    <cellStyle name="20 % - Akzent4 2" xfId="68"/>
    <cellStyle name="20 % - Akzent4 3" xfId="88"/>
    <cellStyle name="20 % - Akzent4 4" xfId="108"/>
    <cellStyle name="20 % - Akzent4 5" xfId="128"/>
    <cellStyle name="20 % - Akzent4 6" xfId="148"/>
    <cellStyle name="20 % - Akzent4 7" xfId="168"/>
    <cellStyle name="20 % - Akzent5" xfId="43" builtinId="46" customBuiltin="1"/>
    <cellStyle name="20 % - Akzent5 2" xfId="71"/>
    <cellStyle name="20 % - Akzent5 3" xfId="91"/>
    <cellStyle name="20 % - Akzent5 4" xfId="111"/>
    <cellStyle name="20 % - Akzent5 5" xfId="131"/>
    <cellStyle name="20 % - Akzent5 6" xfId="151"/>
    <cellStyle name="20 % - Akzent5 7" xfId="171"/>
    <cellStyle name="20 % - Akzent6" xfId="46" builtinId="50" customBuiltin="1"/>
    <cellStyle name="20 % - Akzent6 2" xfId="74"/>
    <cellStyle name="20 % - Akzent6 3" xfId="94"/>
    <cellStyle name="20 % - Akzent6 4" xfId="114"/>
    <cellStyle name="20 % - Akzent6 5" xfId="134"/>
    <cellStyle name="20 % - Akzent6 6" xfId="154"/>
    <cellStyle name="20 % - Akzent6 7" xfId="174"/>
    <cellStyle name="40 % - Akzent1" xfId="32" builtinId="31" customBuiltin="1"/>
    <cellStyle name="40 % - Akzent1 2" xfId="60"/>
    <cellStyle name="40 % - Akzent1 3" xfId="80"/>
    <cellStyle name="40 % - Akzent1 4" xfId="100"/>
    <cellStyle name="40 % - Akzent1 5" xfId="120"/>
    <cellStyle name="40 % - Akzent1 6" xfId="140"/>
    <cellStyle name="40 % - Akzent1 7" xfId="160"/>
    <cellStyle name="40 % - Akzent2" xfId="35" builtinId="35" customBuiltin="1"/>
    <cellStyle name="40 % - Akzent2 2" xfId="63"/>
    <cellStyle name="40 % - Akzent2 3" xfId="83"/>
    <cellStyle name="40 % - Akzent2 4" xfId="103"/>
    <cellStyle name="40 % - Akzent2 5" xfId="123"/>
    <cellStyle name="40 % - Akzent2 6" xfId="143"/>
    <cellStyle name="40 % - Akzent2 7" xfId="163"/>
    <cellStyle name="40 % - Akzent3" xfId="38" builtinId="39" customBuiltin="1"/>
    <cellStyle name="40 % - Akzent3 2" xfId="66"/>
    <cellStyle name="40 % - Akzent3 3" xfId="86"/>
    <cellStyle name="40 % - Akzent3 4" xfId="106"/>
    <cellStyle name="40 % - Akzent3 5" xfId="126"/>
    <cellStyle name="40 % - Akzent3 6" xfId="146"/>
    <cellStyle name="40 % - Akzent3 7" xfId="166"/>
    <cellStyle name="40 % - Akzent4" xfId="41" builtinId="43" customBuiltin="1"/>
    <cellStyle name="40 % - Akzent4 2" xfId="69"/>
    <cellStyle name="40 % - Akzent4 3" xfId="89"/>
    <cellStyle name="40 % - Akzent4 4" xfId="109"/>
    <cellStyle name="40 % - Akzent4 5" xfId="129"/>
    <cellStyle name="40 % - Akzent4 6" xfId="149"/>
    <cellStyle name="40 % - Akzent4 7" xfId="169"/>
    <cellStyle name="40 % - Akzent5" xfId="44" builtinId="47" customBuiltin="1"/>
    <cellStyle name="40 % - Akzent5 2" xfId="72"/>
    <cellStyle name="40 % - Akzent5 3" xfId="92"/>
    <cellStyle name="40 % - Akzent5 4" xfId="112"/>
    <cellStyle name="40 % - Akzent5 5" xfId="132"/>
    <cellStyle name="40 % - Akzent5 6" xfId="152"/>
    <cellStyle name="40 % - Akzent5 7" xfId="172"/>
    <cellStyle name="40 % - Akzent6" xfId="47" builtinId="51" customBuiltin="1"/>
    <cellStyle name="40 % - Akzent6 2" xfId="75"/>
    <cellStyle name="40 % - Akzent6 3" xfId="95"/>
    <cellStyle name="40 % - Akzent6 4" xfId="115"/>
    <cellStyle name="40 % - Akzent6 5" xfId="135"/>
    <cellStyle name="40 % - Akzent6 6" xfId="155"/>
    <cellStyle name="40 % - Akzent6 7" xfId="175"/>
    <cellStyle name="60 % - Akzent1 2" xfId="51"/>
    <cellStyle name="60 % - Akzent1 3" xfId="61"/>
    <cellStyle name="60 % - Akzent1 4" xfId="81"/>
    <cellStyle name="60 % - Akzent1 5" xfId="101"/>
    <cellStyle name="60 % - Akzent1 6" xfId="121"/>
    <cellStyle name="60 % - Akzent1 7" xfId="141"/>
    <cellStyle name="60 % - Akzent1 8" xfId="161"/>
    <cellStyle name="60 % - Akzent2 2" xfId="52"/>
    <cellStyle name="60 % - Akzent2 3" xfId="64"/>
    <cellStyle name="60 % - Akzent2 4" xfId="84"/>
    <cellStyle name="60 % - Akzent2 5" xfId="104"/>
    <cellStyle name="60 % - Akzent2 6" xfId="124"/>
    <cellStyle name="60 % - Akzent2 7" xfId="144"/>
    <cellStyle name="60 % - Akzent2 8" xfId="164"/>
    <cellStyle name="60 % - Akzent3 2" xfId="53"/>
    <cellStyle name="60 % - Akzent3 3" xfId="67"/>
    <cellStyle name="60 % - Akzent3 4" xfId="87"/>
    <cellStyle name="60 % - Akzent3 5" xfId="107"/>
    <cellStyle name="60 % - Akzent3 6" xfId="127"/>
    <cellStyle name="60 % - Akzent3 7" xfId="147"/>
    <cellStyle name="60 % - Akzent3 8" xfId="167"/>
    <cellStyle name="60 % - Akzent4 2" xfId="54"/>
    <cellStyle name="60 % - Akzent4 3" xfId="70"/>
    <cellStyle name="60 % - Akzent4 4" xfId="90"/>
    <cellStyle name="60 % - Akzent4 5" xfId="110"/>
    <cellStyle name="60 % - Akzent4 6" xfId="130"/>
    <cellStyle name="60 % - Akzent4 7" xfId="150"/>
    <cellStyle name="60 % - Akzent4 8" xfId="170"/>
    <cellStyle name="60 % - Akzent5 2" xfId="55"/>
    <cellStyle name="60 % - Akzent5 3" xfId="73"/>
    <cellStyle name="60 % - Akzent5 4" xfId="93"/>
    <cellStyle name="60 % - Akzent5 5" xfId="113"/>
    <cellStyle name="60 % - Akzent5 6" xfId="133"/>
    <cellStyle name="60 % - Akzent5 7" xfId="153"/>
    <cellStyle name="60 % - Akzent5 8" xfId="173"/>
    <cellStyle name="60 % - Akzent6 2" xfId="56"/>
    <cellStyle name="60 % - Akzent6 3" xfId="76"/>
    <cellStyle name="60 % - Akzent6 4" xfId="96"/>
    <cellStyle name="60 % - Akzent6 5" xfId="116"/>
    <cellStyle name="60 % - Akzent6 6" xfId="136"/>
    <cellStyle name="60 % - Akzent6 7" xfId="156"/>
    <cellStyle name="60 % - Akzent6 8" xfId="176"/>
    <cellStyle name="Akzent1" xfId="30" builtinId="29" customBuiltin="1"/>
    <cellStyle name="Akzent2" xfId="33" builtinId="33" customBuiltin="1"/>
    <cellStyle name="Akzent3" xfId="36" builtinId="37" customBuiltin="1"/>
    <cellStyle name="Akzent4" xfId="39" builtinId="41" customBuiltin="1"/>
    <cellStyle name="Akzent5" xfId="42" builtinId="45" customBuiltin="1"/>
    <cellStyle name="Akzent6" xfId="45" builtinId="49" customBuiltin="1"/>
    <cellStyle name="Ausgabe" xfId="23" builtinId="21" customBuiltin="1"/>
    <cellStyle name="Berechnung" xfId="24" builtinId="22" customBuiltin="1"/>
    <cellStyle name="Eingabe" xfId="22" builtinId="20" customBuiltin="1"/>
    <cellStyle name="Ergebnis" xfId="29" builtinId="25" customBuiltin="1"/>
    <cellStyle name="Erklärender Text" xfId="28" builtinId="53" customBuiltin="1"/>
    <cellStyle name="Excel_BuiltIn_20 % - Akzent1" xfId="1"/>
    <cellStyle name="Gut" xfId="20" builtinId="26" customBuiltin="1"/>
    <cellStyle name="Heading" xfId="2"/>
    <cellStyle name="Heading1" xfId="3"/>
    <cellStyle name="Neutral 2" xfId="49"/>
    <cellStyle name="Notiz 2" xfId="50"/>
    <cellStyle name="Notiz 3" xfId="58"/>
    <cellStyle name="Notiz 4" xfId="78"/>
    <cellStyle name="Notiz 5" xfId="98"/>
    <cellStyle name="Notiz 6" xfId="118"/>
    <cellStyle name="Notiz 7" xfId="138"/>
    <cellStyle name="Notiz 8" xfId="158"/>
    <cellStyle name="Prozent" xfId="10" builtinId="5"/>
    <cellStyle name="Result" xfId="4"/>
    <cellStyle name="Result2" xfId="5"/>
    <cellStyle name="Schlecht" xfId="21" builtinId="27" customBuiltin="1"/>
    <cellStyle name="Standard" xfId="0" builtinId="0" customBuiltin="1"/>
    <cellStyle name="Standard 10" xfId="97"/>
    <cellStyle name="Standard 11" xfId="117"/>
    <cellStyle name="Standard 12" xfId="137"/>
    <cellStyle name="Standard 13" xfId="157"/>
    <cellStyle name="Standard 2" xfId="6"/>
    <cellStyle name="Standard 2 2" xfId="7"/>
    <cellStyle name="Standard 2 5" xfId="11"/>
    <cellStyle name="Standard 3" xfId="8"/>
    <cellStyle name="Standard 3 2" xfId="9"/>
    <cellStyle name="Standard 4" xfId="12"/>
    <cellStyle name="Standard 5" xfId="13"/>
    <cellStyle name="Standard 6" xfId="14"/>
    <cellStyle name="Standard 7" xfId="48"/>
    <cellStyle name="Standard 8" xfId="57"/>
    <cellStyle name="Standard 9" xfId="77"/>
    <cellStyle name="Überschrift" xfId="15" builtinId="15" customBuiltin="1"/>
    <cellStyle name="Überschrift 1" xfId="16" builtinId="16" customBuiltin="1"/>
    <cellStyle name="Überschrift 2" xfId="17" builtinId="17" customBuiltin="1"/>
    <cellStyle name="Überschrift 3" xfId="18" builtinId="18" customBuiltin="1"/>
    <cellStyle name="Überschrift 4" xfId="19" builtinId="19" customBuiltin="1"/>
    <cellStyle name="Verknüpfte Zelle" xfId="25" builtinId="24" customBuiltin="1"/>
    <cellStyle name="Warnender Text" xfId="27" builtinId="11" customBuiltin="1"/>
    <cellStyle name="Zelle überprüfen" xfId="26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A!$AG$10</c:f>
              <c:strCache>
                <c:ptCount val="1"/>
                <c:pt idx="0">
                  <c:v>DIVI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A!$AF$11:$AF$296</c:f>
              <c:numCache>
                <c:formatCode>dd/mm/yy;@</c:formatCode>
                <c:ptCount val="286"/>
                <c:pt idx="0">
                  <c:v>44232</c:v>
                </c:pt>
                <c:pt idx="1">
                  <c:v>44231</c:v>
                </c:pt>
                <c:pt idx="2">
                  <c:v>44230</c:v>
                </c:pt>
                <c:pt idx="3">
                  <c:v>44229</c:v>
                </c:pt>
                <c:pt idx="4">
                  <c:v>44228</c:v>
                </c:pt>
                <c:pt idx="5">
                  <c:v>44227</c:v>
                </c:pt>
                <c:pt idx="6">
                  <c:v>44226</c:v>
                </c:pt>
                <c:pt idx="7">
                  <c:v>44225</c:v>
                </c:pt>
                <c:pt idx="8">
                  <c:v>44224</c:v>
                </c:pt>
                <c:pt idx="9">
                  <c:v>44223</c:v>
                </c:pt>
                <c:pt idx="10">
                  <c:v>44222</c:v>
                </c:pt>
                <c:pt idx="11">
                  <c:v>44221</c:v>
                </c:pt>
                <c:pt idx="12">
                  <c:v>44220</c:v>
                </c:pt>
                <c:pt idx="13">
                  <c:v>44219</c:v>
                </c:pt>
                <c:pt idx="14">
                  <c:v>44218</c:v>
                </c:pt>
                <c:pt idx="15">
                  <c:v>44217</c:v>
                </c:pt>
                <c:pt idx="16">
                  <c:v>44216</c:v>
                </c:pt>
                <c:pt idx="17">
                  <c:v>44215</c:v>
                </c:pt>
                <c:pt idx="18">
                  <c:v>44214</c:v>
                </c:pt>
                <c:pt idx="19">
                  <c:v>44213</c:v>
                </c:pt>
                <c:pt idx="20">
                  <c:v>44212</c:v>
                </c:pt>
                <c:pt idx="21">
                  <c:v>44211</c:v>
                </c:pt>
                <c:pt idx="22">
                  <c:v>44210</c:v>
                </c:pt>
                <c:pt idx="23">
                  <c:v>44209</c:v>
                </c:pt>
                <c:pt idx="24">
                  <c:v>44208</c:v>
                </c:pt>
                <c:pt idx="25">
                  <c:v>44207</c:v>
                </c:pt>
                <c:pt idx="26">
                  <c:v>44206</c:v>
                </c:pt>
                <c:pt idx="27">
                  <c:v>44205</c:v>
                </c:pt>
                <c:pt idx="28">
                  <c:v>44204</c:v>
                </c:pt>
                <c:pt idx="29">
                  <c:v>44203</c:v>
                </c:pt>
                <c:pt idx="30">
                  <c:v>44202</c:v>
                </c:pt>
                <c:pt idx="31">
                  <c:v>44201</c:v>
                </c:pt>
                <c:pt idx="32">
                  <c:v>44200</c:v>
                </c:pt>
                <c:pt idx="33">
                  <c:v>44199</c:v>
                </c:pt>
                <c:pt idx="34">
                  <c:v>44198</c:v>
                </c:pt>
                <c:pt idx="35">
                  <c:v>44197</c:v>
                </c:pt>
                <c:pt idx="36">
                  <c:v>44196</c:v>
                </c:pt>
                <c:pt idx="37">
                  <c:v>44195</c:v>
                </c:pt>
                <c:pt idx="38">
                  <c:v>44194</c:v>
                </c:pt>
                <c:pt idx="39">
                  <c:v>44193</c:v>
                </c:pt>
                <c:pt idx="40">
                  <c:v>44192</c:v>
                </c:pt>
                <c:pt idx="41">
                  <c:v>44191</c:v>
                </c:pt>
                <c:pt idx="42">
                  <c:v>44190</c:v>
                </c:pt>
                <c:pt idx="43">
                  <c:v>44189</c:v>
                </c:pt>
                <c:pt idx="44">
                  <c:v>44188</c:v>
                </c:pt>
                <c:pt idx="45">
                  <c:v>44187</c:v>
                </c:pt>
                <c:pt idx="46">
                  <c:v>44186</c:v>
                </c:pt>
                <c:pt idx="47">
                  <c:v>44185</c:v>
                </c:pt>
                <c:pt idx="48">
                  <c:v>44184</c:v>
                </c:pt>
                <c:pt idx="49">
                  <c:v>44183</c:v>
                </c:pt>
                <c:pt idx="50">
                  <c:v>44182</c:v>
                </c:pt>
                <c:pt idx="51">
                  <c:v>44181</c:v>
                </c:pt>
                <c:pt idx="52">
                  <c:v>44180</c:v>
                </c:pt>
                <c:pt idx="53">
                  <c:v>44179</c:v>
                </c:pt>
                <c:pt idx="54">
                  <c:v>44178</c:v>
                </c:pt>
                <c:pt idx="55">
                  <c:v>44177</c:v>
                </c:pt>
                <c:pt idx="56">
                  <c:v>44176</c:v>
                </c:pt>
                <c:pt idx="57">
                  <c:v>44175</c:v>
                </c:pt>
                <c:pt idx="58">
                  <c:v>44174</c:v>
                </c:pt>
                <c:pt idx="59">
                  <c:v>44173</c:v>
                </c:pt>
                <c:pt idx="60">
                  <c:v>44172</c:v>
                </c:pt>
                <c:pt idx="61">
                  <c:v>44171</c:v>
                </c:pt>
                <c:pt idx="62">
                  <c:v>44170</c:v>
                </c:pt>
                <c:pt idx="63">
                  <c:v>44169</c:v>
                </c:pt>
                <c:pt idx="64">
                  <c:v>44168</c:v>
                </c:pt>
                <c:pt idx="65">
                  <c:v>44167</c:v>
                </c:pt>
                <c:pt idx="66">
                  <c:v>44166</c:v>
                </c:pt>
                <c:pt idx="67">
                  <c:v>44165</c:v>
                </c:pt>
                <c:pt idx="68">
                  <c:v>44164</c:v>
                </c:pt>
                <c:pt idx="69">
                  <c:v>44163</c:v>
                </c:pt>
                <c:pt idx="70">
                  <c:v>44162</c:v>
                </c:pt>
                <c:pt idx="71">
                  <c:v>44161</c:v>
                </c:pt>
                <c:pt idx="72">
                  <c:v>44160</c:v>
                </c:pt>
                <c:pt idx="73">
                  <c:v>44159</c:v>
                </c:pt>
                <c:pt idx="74">
                  <c:v>44158</c:v>
                </c:pt>
                <c:pt idx="75">
                  <c:v>44157</c:v>
                </c:pt>
                <c:pt idx="76">
                  <c:v>44156</c:v>
                </c:pt>
                <c:pt idx="77">
                  <c:v>44155</c:v>
                </c:pt>
                <c:pt idx="78">
                  <c:v>44154</c:v>
                </c:pt>
                <c:pt idx="79">
                  <c:v>44153</c:v>
                </c:pt>
                <c:pt idx="80">
                  <c:v>44152</c:v>
                </c:pt>
                <c:pt idx="81">
                  <c:v>44151</c:v>
                </c:pt>
                <c:pt idx="82">
                  <c:v>44150</c:v>
                </c:pt>
                <c:pt idx="83">
                  <c:v>44149</c:v>
                </c:pt>
                <c:pt idx="84">
                  <c:v>44148</c:v>
                </c:pt>
                <c:pt idx="85">
                  <c:v>44147</c:v>
                </c:pt>
                <c:pt idx="86">
                  <c:v>44146</c:v>
                </c:pt>
                <c:pt idx="87">
                  <c:v>44145</c:v>
                </c:pt>
                <c:pt idx="88">
                  <c:v>44144</c:v>
                </c:pt>
                <c:pt idx="89">
                  <c:v>44143</c:v>
                </c:pt>
                <c:pt idx="90">
                  <c:v>44142</c:v>
                </c:pt>
                <c:pt idx="91">
                  <c:v>44141</c:v>
                </c:pt>
                <c:pt idx="92">
                  <c:v>44140</c:v>
                </c:pt>
                <c:pt idx="93">
                  <c:v>44139</c:v>
                </c:pt>
                <c:pt idx="94">
                  <c:v>44138</c:v>
                </c:pt>
                <c:pt idx="95">
                  <c:v>44137</c:v>
                </c:pt>
                <c:pt idx="96">
                  <c:v>44136</c:v>
                </c:pt>
                <c:pt idx="97">
                  <c:v>44135</c:v>
                </c:pt>
                <c:pt idx="98">
                  <c:v>44134</c:v>
                </c:pt>
                <c:pt idx="99">
                  <c:v>44133</c:v>
                </c:pt>
                <c:pt idx="100">
                  <c:v>44132</c:v>
                </c:pt>
                <c:pt idx="101">
                  <c:v>44131</c:v>
                </c:pt>
                <c:pt idx="102">
                  <c:v>44130</c:v>
                </c:pt>
                <c:pt idx="103">
                  <c:v>44129</c:v>
                </c:pt>
                <c:pt idx="104">
                  <c:v>44128</c:v>
                </c:pt>
                <c:pt idx="105">
                  <c:v>44127</c:v>
                </c:pt>
                <c:pt idx="106">
                  <c:v>44126</c:v>
                </c:pt>
                <c:pt idx="107">
                  <c:v>44125</c:v>
                </c:pt>
                <c:pt idx="108">
                  <c:v>44124</c:v>
                </c:pt>
                <c:pt idx="109">
                  <c:v>44123</c:v>
                </c:pt>
                <c:pt idx="110">
                  <c:v>44122</c:v>
                </c:pt>
                <c:pt idx="111">
                  <c:v>44121</c:v>
                </c:pt>
                <c:pt idx="112">
                  <c:v>44120</c:v>
                </c:pt>
                <c:pt idx="113">
                  <c:v>44119</c:v>
                </c:pt>
                <c:pt idx="114">
                  <c:v>44118</c:v>
                </c:pt>
                <c:pt idx="115">
                  <c:v>44117</c:v>
                </c:pt>
                <c:pt idx="116">
                  <c:v>44116</c:v>
                </c:pt>
                <c:pt idx="117">
                  <c:v>44115</c:v>
                </c:pt>
                <c:pt idx="118">
                  <c:v>44114</c:v>
                </c:pt>
                <c:pt idx="119">
                  <c:v>44113</c:v>
                </c:pt>
                <c:pt idx="120">
                  <c:v>44112</c:v>
                </c:pt>
                <c:pt idx="121">
                  <c:v>44111</c:v>
                </c:pt>
                <c:pt idx="122">
                  <c:v>44110</c:v>
                </c:pt>
                <c:pt idx="123">
                  <c:v>44109</c:v>
                </c:pt>
                <c:pt idx="124">
                  <c:v>44108</c:v>
                </c:pt>
                <c:pt idx="125">
                  <c:v>44107</c:v>
                </c:pt>
                <c:pt idx="126">
                  <c:v>44106</c:v>
                </c:pt>
                <c:pt idx="127">
                  <c:v>44105</c:v>
                </c:pt>
                <c:pt idx="128">
                  <c:v>44104</c:v>
                </c:pt>
                <c:pt idx="129">
                  <c:v>44103</c:v>
                </c:pt>
                <c:pt idx="130">
                  <c:v>44102</c:v>
                </c:pt>
                <c:pt idx="131">
                  <c:v>44101</c:v>
                </c:pt>
                <c:pt idx="132">
                  <c:v>44100</c:v>
                </c:pt>
                <c:pt idx="133">
                  <c:v>44099</c:v>
                </c:pt>
                <c:pt idx="134">
                  <c:v>44098</c:v>
                </c:pt>
                <c:pt idx="135">
                  <c:v>44097</c:v>
                </c:pt>
                <c:pt idx="136">
                  <c:v>44096</c:v>
                </c:pt>
                <c:pt idx="137">
                  <c:v>44095</c:v>
                </c:pt>
                <c:pt idx="138">
                  <c:v>44094</c:v>
                </c:pt>
                <c:pt idx="139">
                  <c:v>44093</c:v>
                </c:pt>
                <c:pt idx="140">
                  <c:v>44092</c:v>
                </c:pt>
                <c:pt idx="141">
                  <c:v>44091</c:v>
                </c:pt>
                <c:pt idx="142">
                  <c:v>44090</c:v>
                </c:pt>
                <c:pt idx="143">
                  <c:v>44089</c:v>
                </c:pt>
                <c:pt idx="144">
                  <c:v>44088</c:v>
                </c:pt>
                <c:pt idx="145">
                  <c:v>44087</c:v>
                </c:pt>
                <c:pt idx="146">
                  <c:v>44086</c:v>
                </c:pt>
                <c:pt idx="147">
                  <c:v>44085</c:v>
                </c:pt>
                <c:pt idx="148">
                  <c:v>44084</c:v>
                </c:pt>
                <c:pt idx="149">
                  <c:v>44083</c:v>
                </c:pt>
                <c:pt idx="150">
                  <c:v>44082</c:v>
                </c:pt>
                <c:pt idx="151">
                  <c:v>44081</c:v>
                </c:pt>
                <c:pt idx="152">
                  <c:v>44080</c:v>
                </c:pt>
                <c:pt idx="153">
                  <c:v>44079</c:v>
                </c:pt>
                <c:pt idx="154">
                  <c:v>44078</c:v>
                </c:pt>
                <c:pt idx="155">
                  <c:v>44077</c:v>
                </c:pt>
                <c:pt idx="156">
                  <c:v>44076</c:v>
                </c:pt>
                <c:pt idx="157">
                  <c:v>44075</c:v>
                </c:pt>
                <c:pt idx="158">
                  <c:v>44074</c:v>
                </c:pt>
                <c:pt idx="159">
                  <c:v>44073</c:v>
                </c:pt>
                <c:pt idx="160">
                  <c:v>44072</c:v>
                </c:pt>
                <c:pt idx="161">
                  <c:v>44071</c:v>
                </c:pt>
                <c:pt idx="162">
                  <c:v>44070</c:v>
                </c:pt>
                <c:pt idx="163">
                  <c:v>44069</c:v>
                </c:pt>
                <c:pt idx="164">
                  <c:v>44068</c:v>
                </c:pt>
                <c:pt idx="165">
                  <c:v>44067</c:v>
                </c:pt>
                <c:pt idx="166">
                  <c:v>44066</c:v>
                </c:pt>
                <c:pt idx="167">
                  <c:v>44065</c:v>
                </c:pt>
                <c:pt idx="168">
                  <c:v>44064</c:v>
                </c:pt>
                <c:pt idx="169">
                  <c:v>44063</c:v>
                </c:pt>
                <c:pt idx="170">
                  <c:v>44062</c:v>
                </c:pt>
                <c:pt idx="171">
                  <c:v>44061</c:v>
                </c:pt>
                <c:pt idx="172">
                  <c:v>44060</c:v>
                </c:pt>
                <c:pt idx="173">
                  <c:v>44059</c:v>
                </c:pt>
                <c:pt idx="174">
                  <c:v>44058</c:v>
                </c:pt>
                <c:pt idx="175">
                  <c:v>44057</c:v>
                </c:pt>
                <c:pt idx="176">
                  <c:v>44056</c:v>
                </c:pt>
                <c:pt idx="177">
                  <c:v>44055</c:v>
                </c:pt>
                <c:pt idx="178">
                  <c:v>44054</c:v>
                </c:pt>
                <c:pt idx="179">
                  <c:v>44053</c:v>
                </c:pt>
                <c:pt idx="180">
                  <c:v>44052</c:v>
                </c:pt>
                <c:pt idx="181">
                  <c:v>44051</c:v>
                </c:pt>
                <c:pt idx="182">
                  <c:v>44050</c:v>
                </c:pt>
                <c:pt idx="183">
                  <c:v>44049</c:v>
                </c:pt>
                <c:pt idx="184">
                  <c:v>44048</c:v>
                </c:pt>
                <c:pt idx="185">
                  <c:v>44047</c:v>
                </c:pt>
                <c:pt idx="186">
                  <c:v>44046</c:v>
                </c:pt>
                <c:pt idx="187">
                  <c:v>44045</c:v>
                </c:pt>
                <c:pt idx="188">
                  <c:v>44044</c:v>
                </c:pt>
                <c:pt idx="189">
                  <c:v>44043</c:v>
                </c:pt>
                <c:pt idx="190">
                  <c:v>44042</c:v>
                </c:pt>
                <c:pt idx="191">
                  <c:v>44041</c:v>
                </c:pt>
                <c:pt idx="192">
                  <c:v>44040</c:v>
                </c:pt>
                <c:pt idx="193">
                  <c:v>44039</c:v>
                </c:pt>
                <c:pt idx="194">
                  <c:v>44038</c:v>
                </c:pt>
                <c:pt idx="195">
                  <c:v>44037</c:v>
                </c:pt>
                <c:pt idx="196">
                  <c:v>44036</c:v>
                </c:pt>
                <c:pt idx="197">
                  <c:v>44035</c:v>
                </c:pt>
                <c:pt idx="198">
                  <c:v>44034</c:v>
                </c:pt>
                <c:pt idx="199">
                  <c:v>44033</c:v>
                </c:pt>
                <c:pt idx="200">
                  <c:v>44032</c:v>
                </c:pt>
                <c:pt idx="201">
                  <c:v>44031</c:v>
                </c:pt>
                <c:pt idx="202">
                  <c:v>44030</c:v>
                </c:pt>
                <c:pt idx="203">
                  <c:v>44029</c:v>
                </c:pt>
                <c:pt idx="204">
                  <c:v>44028</c:v>
                </c:pt>
                <c:pt idx="205">
                  <c:v>44027</c:v>
                </c:pt>
                <c:pt idx="206">
                  <c:v>44026</c:v>
                </c:pt>
                <c:pt idx="207">
                  <c:v>44025</c:v>
                </c:pt>
                <c:pt idx="208">
                  <c:v>44024</c:v>
                </c:pt>
                <c:pt idx="209">
                  <c:v>44023</c:v>
                </c:pt>
                <c:pt idx="210">
                  <c:v>44022</c:v>
                </c:pt>
                <c:pt idx="211">
                  <c:v>44021</c:v>
                </c:pt>
                <c:pt idx="212">
                  <c:v>44020</c:v>
                </c:pt>
                <c:pt idx="213">
                  <c:v>44019</c:v>
                </c:pt>
                <c:pt idx="214">
                  <c:v>44018</c:v>
                </c:pt>
                <c:pt idx="215">
                  <c:v>44017</c:v>
                </c:pt>
                <c:pt idx="216">
                  <c:v>44016</c:v>
                </c:pt>
                <c:pt idx="217">
                  <c:v>44015</c:v>
                </c:pt>
                <c:pt idx="218">
                  <c:v>44014</c:v>
                </c:pt>
                <c:pt idx="219">
                  <c:v>44013</c:v>
                </c:pt>
                <c:pt idx="220">
                  <c:v>44012</c:v>
                </c:pt>
                <c:pt idx="221">
                  <c:v>44011</c:v>
                </c:pt>
                <c:pt idx="222">
                  <c:v>44010</c:v>
                </c:pt>
                <c:pt idx="223">
                  <c:v>44009</c:v>
                </c:pt>
                <c:pt idx="224">
                  <c:v>44008</c:v>
                </c:pt>
                <c:pt idx="225">
                  <c:v>44007</c:v>
                </c:pt>
                <c:pt idx="226">
                  <c:v>44006</c:v>
                </c:pt>
                <c:pt idx="227">
                  <c:v>44005</c:v>
                </c:pt>
                <c:pt idx="228">
                  <c:v>44004</c:v>
                </c:pt>
                <c:pt idx="229">
                  <c:v>44003</c:v>
                </c:pt>
                <c:pt idx="230">
                  <c:v>44002</c:v>
                </c:pt>
                <c:pt idx="231">
                  <c:v>44001</c:v>
                </c:pt>
                <c:pt idx="232">
                  <c:v>44000</c:v>
                </c:pt>
                <c:pt idx="233">
                  <c:v>43999</c:v>
                </c:pt>
                <c:pt idx="234">
                  <c:v>43998</c:v>
                </c:pt>
                <c:pt idx="235">
                  <c:v>43997</c:v>
                </c:pt>
                <c:pt idx="236">
                  <c:v>43996</c:v>
                </c:pt>
                <c:pt idx="237">
                  <c:v>43995</c:v>
                </c:pt>
                <c:pt idx="238">
                  <c:v>43994</c:v>
                </c:pt>
                <c:pt idx="239">
                  <c:v>43993</c:v>
                </c:pt>
                <c:pt idx="240">
                  <c:v>43992</c:v>
                </c:pt>
                <c:pt idx="241">
                  <c:v>43991</c:v>
                </c:pt>
                <c:pt idx="242">
                  <c:v>43990</c:v>
                </c:pt>
                <c:pt idx="243">
                  <c:v>43989</c:v>
                </c:pt>
                <c:pt idx="244">
                  <c:v>43988</c:v>
                </c:pt>
                <c:pt idx="245">
                  <c:v>43987</c:v>
                </c:pt>
                <c:pt idx="246">
                  <c:v>43986</c:v>
                </c:pt>
                <c:pt idx="247">
                  <c:v>43985</c:v>
                </c:pt>
                <c:pt idx="248">
                  <c:v>43984</c:v>
                </c:pt>
                <c:pt idx="249">
                  <c:v>43983</c:v>
                </c:pt>
                <c:pt idx="250">
                  <c:v>43982</c:v>
                </c:pt>
                <c:pt idx="251">
                  <c:v>43981</c:v>
                </c:pt>
                <c:pt idx="252">
                  <c:v>43980</c:v>
                </c:pt>
                <c:pt idx="253">
                  <c:v>43979</c:v>
                </c:pt>
                <c:pt idx="254">
                  <c:v>43978</c:v>
                </c:pt>
                <c:pt idx="255">
                  <c:v>43977</c:v>
                </c:pt>
                <c:pt idx="256">
                  <c:v>43976</c:v>
                </c:pt>
                <c:pt idx="257">
                  <c:v>43975</c:v>
                </c:pt>
                <c:pt idx="258">
                  <c:v>43974</c:v>
                </c:pt>
                <c:pt idx="259">
                  <c:v>43973</c:v>
                </c:pt>
                <c:pt idx="260">
                  <c:v>43972</c:v>
                </c:pt>
                <c:pt idx="261">
                  <c:v>43971</c:v>
                </c:pt>
                <c:pt idx="262">
                  <c:v>43970</c:v>
                </c:pt>
                <c:pt idx="263">
                  <c:v>43969</c:v>
                </c:pt>
                <c:pt idx="264">
                  <c:v>43968</c:v>
                </c:pt>
                <c:pt idx="265">
                  <c:v>43967</c:v>
                </c:pt>
                <c:pt idx="266">
                  <c:v>43966</c:v>
                </c:pt>
                <c:pt idx="267">
                  <c:v>43965</c:v>
                </c:pt>
                <c:pt idx="268">
                  <c:v>43964</c:v>
                </c:pt>
                <c:pt idx="269">
                  <c:v>43963</c:v>
                </c:pt>
                <c:pt idx="270">
                  <c:v>43962</c:v>
                </c:pt>
                <c:pt idx="271">
                  <c:v>43961</c:v>
                </c:pt>
                <c:pt idx="272">
                  <c:v>43960</c:v>
                </c:pt>
                <c:pt idx="273">
                  <c:v>43959</c:v>
                </c:pt>
                <c:pt idx="274">
                  <c:v>43958</c:v>
                </c:pt>
                <c:pt idx="275">
                  <c:v>43957</c:v>
                </c:pt>
                <c:pt idx="276">
                  <c:v>43956</c:v>
                </c:pt>
                <c:pt idx="277">
                  <c:v>43955</c:v>
                </c:pt>
                <c:pt idx="278">
                  <c:v>43954</c:v>
                </c:pt>
                <c:pt idx="279">
                  <c:v>43953</c:v>
                </c:pt>
                <c:pt idx="280">
                  <c:v>43952</c:v>
                </c:pt>
                <c:pt idx="281">
                  <c:v>43951</c:v>
                </c:pt>
                <c:pt idx="282">
                  <c:v>43950</c:v>
                </c:pt>
                <c:pt idx="283">
                  <c:v>43949</c:v>
                </c:pt>
                <c:pt idx="284">
                  <c:v>43948</c:v>
                </c:pt>
                <c:pt idx="285">
                  <c:v>43947</c:v>
                </c:pt>
              </c:numCache>
            </c:numRef>
          </c:cat>
          <c:val>
            <c:numRef>
              <c:f>A!$AG$11:$AG$296</c:f>
              <c:numCache>
                <c:formatCode>0.0%</c:formatCode>
                <c:ptCount val="286"/>
                <c:pt idx="0">
                  <c:v>0.45324430107960367</c:v>
                </c:pt>
                <c:pt idx="1">
                  <c:v>0.44251124105062173</c:v>
                </c:pt>
                <c:pt idx="2">
                  <c:v>0.43171279320531281</c:v>
                </c:pt>
                <c:pt idx="3">
                  <c:v>0.42238119320971673</c:v>
                </c:pt>
                <c:pt idx="4">
                  <c:v>0.41419314070578211</c:v>
                </c:pt>
                <c:pt idx="5">
                  <c:v>0.40611641506842378</c:v>
                </c:pt>
                <c:pt idx="6">
                  <c:v>0.39805992914510951</c:v>
                </c:pt>
                <c:pt idx="7">
                  <c:v>0.38913635759180737</c:v>
                </c:pt>
                <c:pt idx="8">
                  <c:v>0.38215260961662606</c:v>
                </c:pt>
                <c:pt idx="9">
                  <c:v>0.37454422642714924</c:v>
                </c:pt>
                <c:pt idx="10">
                  <c:v>0.36575367846951284</c:v>
                </c:pt>
                <c:pt idx="11">
                  <c:v>0.35798120722472088</c:v>
                </c:pt>
                <c:pt idx="12">
                  <c:v>0.35086655641715481</c:v>
                </c:pt>
                <c:pt idx="13">
                  <c:v>0.34389499853321986</c:v>
                </c:pt>
                <c:pt idx="14">
                  <c:v>0.33859284534726114</c:v>
                </c:pt>
                <c:pt idx="15">
                  <c:v>0.3327185319527084</c:v>
                </c:pt>
                <c:pt idx="16">
                  <c:v>0.32827643977960591</c:v>
                </c:pt>
                <c:pt idx="17">
                  <c:v>0.32513122772932634</c:v>
                </c:pt>
                <c:pt idx="18">
                  <c:v>0.32142792033958845</c:v>
                </c:pt>
                <c:pt idx="19">
                  <c:v>0.3183064603981694</c:v>
                </c:pt>
                <c:pt idx="20">
                  <c:v>0.31676544821657654</c:v>
                </c:pt>
                <c:pt idx="21">
                  <c:v>0.316601452115853</c:v>
                </c:pt>
                <c:pt idx="22">
                  <c:v>0.31780001125559737</c:v>
                </c:pt>
                <c:pt idx="23">
                  <c:v>0.320316281276669</c:v>
                </c:pt>
                <c:pt idx="24">
                  <c:v>0.32353714113601684</c:v>
                </c:pt>
                <c:pt idx="25">
                  <c:v>0.32862906110046747</c:v>
                </c:pt>
                <c:pt idx="26">
                  <c:v>0.3346804121652896</c:v>
                </c:pt>
                <c:pt idx="27">
                  <c:v>0.33968749519488051</c:v>
                </c:pt>
                <c:pt idx="28">
                  <c:v>0.34180148239765062</c:v>
                </c:pt>
                <c:pt idx="29">
                  <c:v>0.33862714597744364</c:v>
                </c:pt>
                <c:pt idx="30">
                  <c:v>0.33370130641908841</c:v>
                </c:pt>
                <c:pt idx="31">
                  <c:v>0.32782436914466229</c:v>
                </c:pt>
                <c:pt idx="32">
                  <c:v>0.31956439474311621</c:v>
                </c:pt>
                <c:pt idx="33">
                  <c:v>0.30877513908002757</c:v>
                </c:pt>
                <c:pt idx="34">
                  <c:v>0.29759890770910769</c:v>
                </c:pt>
                <c:pt idx="35">
                  <c:v>0.28774959209724604</c:v>
                </c:pt>
                <c:pt idx="36">
                  <c:v>0.27801442373312296</c:v>
                </c:pt>
                <c:pt idx="37">
                  <c:v>0.26750467041430337</c:v>
                </c:pt>
                <c:pt idx="38">
                  <c:v>0.25518724579626051</c:v>
                </c:pt>
                <c:pt idx="39">
                  <c:v>0.2430271579179884</c:v>
                </c:pt>
                <c:pt idx="40">
                  <c:v>0.23262332385388287</c:v>
                </c:pt>
                <c:pt idx="41">
                  <c:v>0.221401767796888</c:v>
                </c:pt>
                <c:pt idx="42">
                  <c:v>0.21138620589698931</c:v>
                </c:pt>
                <c:pt idx="43">
                  <c:v>0.20823495839360176</c:v>
                </c:pt>
                <c:pt idx="44">
                  <c:v>0.20713724359731231</c:v>
                </c:pt>
                <c:pt idx="45">
                  <c:v>0.20781032826004639</c:v>
                </c:pt>
                <c:pt idx="46">
                  <c:v>0.20916066910066952</c:v>
                </c:pt>
                <c:pt idx="47">
                  <c:v>0.21005165300173842</c:v>
                </c:pt>
                <c:pt idx="48">
                  <c:v>0.21169737432633187</c:v>
                </c:pt>
                <c:pt idx="49">
                  <c:v>0.21395981875295669</c:v>
                </c:pt>
                <c:pt idx="50">
                  <c:v>0.2151721488836372</c:v>
                </c:pt>
                <c:pt idx="51">
                  <c:v>0.21488303979371898</c:v>
                </c:pt>
                <c:pt idx="52">
                  <c:v>0.21344118523151623</c:v>
                </c:pt>
                <c:pt idx="53">
                  <c:v>0.21236284218092669</c:v>
                </c:pt>
                <c:pt idx="54">
                  <c:v>0.21086764613952197</c:v>
                </c:pt>
                <c:pt idx="55">
                  <c:v>0.20920056721773858</c:v>
                </c:pt>
                <c:pt idx="56">
                  <c:v>0.20643564026772487</c:v>
                </c:pt>
                <c:pt idx="57">
                  <c:v>0.20270811326698565</c:v>
                </c:pt>
                <c:pt idx="58">
                  <c:v>0.19813195061415192</c:v>
                </c:pt>
                <c:pt idx="59">
                  <c:v>0.19358103948913608</c:v>
                </c:pt>
                <c:pt idx="60">
                  <c:v>0.1860251562505639</c:v>
                </c:pt>
                <c:pt idx="61">
                  <c:v>0.18050402648643363</c:v>
                </c:pt>
                <c:pt idx="62">
                  <c:v>0.17570618536879717</c:v>
                </c:pt>
                <c:pt idx="63">
                  <c:v>0.1704725988507193</c:v>
                </c:pt>
                <c:pt idx="64">
                  <c:v>0.16497907065161743</c:v>
                </c:pt>
                <c:pt idx="65">
                  <c:v>0.15940776378710095</c:v>
                </c:pt>
                <c:pt idx="66">
                  <c:v>0.15322081607216737</c:v>
                </c:pt>
                <c:pt idx="67">
                  <c:v>0.14947930203736587</c:v>
                </c:pt>
                <c:pt idx="68">
                  <c:v>0.1443369522924251</c:v>
                </c:pt>
                <c:pt idx="69">
                  <c:v>0.13949332431586237</c:v>
                </c:pt>
                <c:pt idx="70">
                  <c:v>0.13339127517877794</c:v>
                </c:pt>
                <c:pt idx="71">
                  <c:v>0.12858619429293844</c:v>
                </c:pt>
                <c:pt idx="72">
                  <c:v>0.12550421653811561</c:v>
                </c:pt>
                <c:pt idx="73">
                  <c:v>0.12452988407136054</c:v>
                </c:pt>
                <c:pt idx="74">
                  <c:v>0.12346364745416231</c:v>
                </c:pt>
                <c:pt idx="75">
                  <c:v>0.12223691459552696</c:v>
                </c:pt>
                <c:pt idx="76">
                  <c:v>0.12137080818245564</c:v>
                </c:pt>
                <c:pt idx="77">
                  <c:v>0.12233737923247474</c:v>
                </c:pt>
                <c:pt idx="78">
                  <c:v>0.12393252597264116</c:v>
                </c:pt>
                <c:pt idx="79">
                  <c:v>0.1236182112887252</c:v>
                </c:pt>
                <c:pt idx="80">
                  <c:v>0.1232946965050179</c:v>
                </c:pt>
                <c:pt idx="81">
                  <c:v>0.12367076003592375</c:v>
                </c:pt>
                <c:pt idx="82">
                  <c:v>0.12695685028119166</c:v>
                </c:pt>
                <c:pt idx="83">
                  <c:v>0.1307293786225848</c:v>
                </c:pt>
                <c:pt idx="84">
                  <c:v>0.13503853207133237</c:v>
                </c:pt>
                <c:pt idx="85">
                  <c:v>0.13877565647319992</c:v>
                </c:pt>
                <c:pt idx="86">
                  <c:v>0.14395833936943123</c:v>
                </c:pt>
                <c:pt idx="87">
                  <c:v>0.14797528823836975</c:v>
                </c:pt>
                <c:pt idx="88">
                  <c:v>0.14999925190390914</c:v>
                </c:pt>
                <c:pt idx="89">
                  <c:v>0.14995196322941504</c:v>
                </c:pt>
                <c:pt idx="90">
                  <c:v>0.14737431809058871</c:v>
                </c:pt>
                <c:pt idx="91">
                  <c:v>0.14285936488114079</c:v>
                </c:pt>
                <c:pt idx="92">
                  <c:v>0.13712926393775843</c:v>
                </c:pt>
                <c:pt idx="93">
                  <c:v>0.12970045616595924</c:v>
                </c:pt>
                <c:pt idx="94">
                  <c:v>0.12079883722512232</c:v>
                </c:pt>
                <c:pt idx="95">
                  <c:v>0.11516210842847696</c:v>
                </c:pt>
                <c:pt idx="96">
                  <c:v>0.11088706797101337</c:v>
                </c:pt>
                <c:pt idx="97">
                  <c:v>0.11325934451297463</c:v>
                </c:pt>
                <c:pt idx="98">
                  <c:v>0.11674272620431556</c:v>
                </c:pt>
                <c:pt idx="99">
                  <c:v>0.12021067483350015</c:v>
                </c:pt>
                <c:pt idx="100">
                  <c:v>0.12373787276237336</c:v>
                </c:pt>
                <c:pt idx="101">
                  <c:v>0.1281644003143563</c:v>
                </c:pt>
                <c:pt idx="102">
                  <c:v>0.13106501170433285</c:v>
                </c:pt>
                <c:pt idx="103">
                  <c:v>0.13813259312863996</c:v>
                </c:pt>
                <c:pt idx="104">
                  <c:v>0.14087976038647887</c:v>
                </c:pt>
                <c:pt idx="105">
                  <c:v>0.14368886023301081</c:v>
                </c:pt>
                <c:pt idx="106">
                  <c:v>0.14413307283959811</c:v>
                </c:pt>
                <c:pt idx="107">
                  <c:v>0.14733015323253301</c:v>
                </c:pt>
                <c:pt idx="108">
                  <c:v>0.14947393201964665</c:v>
                </c:pt>
                <c:pt idx="109">
                  <c:v>0.15989245592463405</c:v>
                </c:pt>
                <c:pt idx="110">
                  <c:v>0.1680382901514659</c:v>
                </c:pt>
                <c:pt idx="111">
                  <c:v>0.18009770308408821</c:v>
                </c:pt>
                <c:pt idx="112">
                  <c:v>0.19425005495403866</c:v>
                </c:pt>
                <c:pt idx="113">
                  <c:v>0.20770619344520766</c:v>
                </c:pt>
                <c:pt idx="114">
                  <c:v>0.22033037448811399</c:v>
                </c:pt>
                <c:pt idx="115">
                  <c:v>0.23610340940670418</c:v>
                </c:pt>
                <c:pt idx="116">
                  <c:v>0.24171360181801319</c:v>
                </c:pt>
                <c:pt idx="117">
                  <c:v>0.24948613879374076</c:v>
                </c:pt>
                <c:pt idx="118">
                  <c:v>0.25927808510502454</c:v>
                </c:pt>
                <c:pt idx="119">
                  <c:v>0.26120614709700002</c:v>
                </c:pt>
                <c:pt idx="120">
                  <c:v>0.26019793922880813</c:v>
                </c:pt>
                <c:pt idx="121">
                  <c:v>0.25662635312917631</c:v>
                </c:pt>
                <c:pt idx="122">
                  <c:v>0.25178048161542183</c:v>
                </c:pt>
                <c:pt idx="123">
                  <c:v>0.24688685080259304</c:v>
                </c:pt>
                <c:pt idx="124">
                  <c:v>0.24016713014567956</c:v>
                </c:pt>
                <c:pt idx="125">
                  <c:v>0.22958240848989536</c:v>
                </c:pt>
                <c:pt idx="126">
                  <c:v>0.22089142620382779</c:v>
                </c:pt>
                <c:pt idx="127">
                  <c:v>0.21405800194783808</c:v>
                </c:pt>
                <c:pt idx="128">
                  <c:v>0.20769877307898216</c:v>
                </c:pt>
                <c:pt idx="129">
                  <c:v>0.19919407348806495</c:v>
                </c:pt>
                <c:pt idx="130">
                  <c:v>0.18668715249487269</c:v>
                </c:pt>
                <c:pt idx="131">
                  <c:v>0.16793514163902634</c:v>
                </c:pt>
                <c:pt idx="132">
                  <c:v>0.15029819656654178</c:v>
                </c:pt>
                <c:pt idx="133">
                  <c:v>0.1388620367239341</c:v>
                </c:pt>
                <c:pt idx="134">
                  <c:v>0.12818843130154825</c:v>
                </c:pt>
                <c:pt idx="135">
                  <c:v>0.11667374670186235</c:v>
                </c:pt>
                <c:pt idx="136">
                  <c:v>0.10516662375059722</c:v>
                </c:pt>
                <c:pt idx="137">
                  <c:v>0.10389329548046833</c:v>
                </c:pt>
                <c:pt idx="138">
                  <c:v>0.10730772141222683</c:v>
                </c:pt>
                <c:pt idx="139">
                  <c:v>0.1146469610553512</c:v>
                </c:pt>
                <c:pt idx="140">
                  <c:v>0.12142070608115188</c:v>
                </c:pt>
                <c:pt idx="141">
                  <c:v>0.12620747945968902</c:v>
                </c:pt>
                <c:pt idx="142">
                  <c:v>0.14075704947922382</c:v>
                </c:pt>
                <c:pt idx="143">
                  <c:v>0.15265971123391622</c:v>
                </c:pt>
                <c:pt idx="144">
                  <c:v>0.15987535179096524</c:v>
                </c:pt>
                <c:pt idx="145">
                  <c:v>0.1649709032054385</c:v>
                </c:pt>
                <c:pt idx="146">
                  <c:v>0.17210436391326717</c:v>
                </c:pt>
                <c:pt idx="147">
                  <c:v>0.18152386511785312</c:v>
                </c:pt>
                <c:pt idx="148">
                  <c:v>0.18836341127417242</c:v>
                </c:pt>
                <c:pt idx="149">
                  <c:v>0.18623509155586518</c:v>
                </c:pt>
                <c:pt idx="150">
                  <c:v>0.18628466860705734</c:v>
                </c:pt>
                <c:pt idx="151">
                  <c:v>0.18821210714286388</c:v>
                </c:pt>
                <c:pt idx="152">
                  <c:v>0.19535774589931379</c:v>
                </c:pt>
                <c:pt idx="153">
                  <c:v>0.20486705486048248</c:v>
                </c:pt>
                <c:pt idx="154">
                  <c:v>0.20600646723627641</c:v>
                </c:pt>
                <c:pt idx="155">
                  <c:v>0.20742229843595039</c:v>
                </c:pt>
                <c:pt idx="156">
                  <c:v>0.21296654780960703</c:v>
                </c:pt>
                <c:pt idx="157">
                  <c:v>0.21138233823266928</c:v>
                </c:pt>
                <c:pt idx="158">
                  <c:v>0.20704936049695022</c:v>
                </c:pt>
                <c:pt idx="159">
                  <c:v>0.21005049028138012</c:v>
                </c:pt>
                <c:pt idx="160">
                  <c:v>0.2112598783301175</c:v>
                </c:pt>
                <c:pt idx="161">
                  <c:v>0.2183796638337861</c:v>
                </c:pt>
                <c:pt idx="162">
                  <c:v>0.22966966348711723</c:v>
                </c:pt>
                <c:pt idx="163">
                  <c:v>0.2375854288935326</c:v>
                </c:pt>
                <c:pt idx="164">
                  <c:v>0.2529919675664779</c:v>
                </c:pt>
                <c:pt idx="165">
                  <c:v>0.27259043500901686</c:v>
                </c:pt>
                <c:pt idx="166">
                  <c:v>0.2850295790678859</c:v>
                </c:pt>
                <c:pt idx="167">
                  <c:v>0.30374347769709142</c:v>
                </c:pt>
                <c:pt idx="168">
                  <c:v>0.32243404095862105</c:v>
                </c:pt>
                <c:pt idx="169">
                  <c:v>0.3401387280062434</c:v>
                </c:pt>
                <c:pt idx="170">
                  <c:v>0.35935170382749609</c:v>
                </c:pt>
                <c:pt idx="171">
                  <c:v>0.3792796514714375</c:v>
                </c:pt>
                <c:pt idx="172">
                  <c:v>0.4017777240536502</c:v>
                </c:pt>
                <c:pt idx="173">
                  <c:v>0.42243925313592789</c:v>
                </c:pt>
                <c:pt idx="174">
                  <c:v>0.44456044160879971</c:v>
                </c:pt>
                <c:pt idx="175">
                  <c:v>0.46460468130141669</c:v>
                </c:pt>
                <c:pt idx="176">
                  <c:v>0.48333233442482582</c:v>
                </c:pt>
                <c:pt idx="177">
                  <c:v>0.5048556223820575</c:v>
                </c:pt>
                <c:pt idx="178">
                  <c:v>0.5262316501787111</c:v>
                </c:pt>
                <c:pt idx="179">
                  <c:v>0.53902120610645432</c:v>
                </c:pt>
                <c:pt idx="180">
                  <c:v>0.56420677044210366</c:v>
                </c:pt>
                <c:pt idx="181">
                  <c:v>0.58657917278937211</c:v>
                </c:pt>
                <c:pt idx="182">
                  <c:v>0.60619104527920531</c:v>
                </c:pt>
                <c:pt idx="183">
                  <c:v>0.62533001297280832</c:v>
                </c:pt>
                <c:pt idx="184">
                  <c:v>0.64293960795169891</c:v>
                </c:pt>
                <c:pt idx="185">
                  <c:v>0.65811584290670999</c:v>
                </c:pt>
                <c:pt idx="186">
                  <c:v>0.67486473842688632</c:v>
                </c:pt>
                <c:pt idx="187">
                  <c:v>0.68356555368880978</c:v>
                </c:pt>
                <c:pt idx="188">
                  <c:v>0.68800981182288201</c:v>
                </c:pt>
                <c:pt idx="189">
                  <c:v>0.69410085831081259</c:v>
                </c:pt>
                <c:pt idx="190">
                  <c:v>0.69945628178204933</c:v>
                </c:pt>
                <c:pt idx="191">
                  <c:v>0.70539448005235095</c:v>
                </c:pt>
                <c:pt idx="192">
                  <c:v>0.71395980078754129</c:v>
                </c:pt>
                <c:pt idx="193">
                  <c:v>0.72257683661985761</c:v>
                </c:pt>
                <c:pt idx="194">
                  <c:v>0.73252243085039859</c:v>
                </c:pt>
                <c:pt idx="195">
                  <c:v>0.74513990586799661</c:v>
                </c:pt>
                <c:pt idx="196">
                  <c:v>0.75373999576961703</c:v>
                </c:pt>
                <c:pt idx="197">
                  <c:v>0.76198721345316589</c:v>
                </c:pt>
                <c:pt idx="198">
                  <c:v>0.76977107115742349</c:v>
                </c:pt>
                <c:pt idx="199">
                  <c:v>0.77471577672392788</c:v>
                </c:pt>
                <c:pt idx="200">
                  <c:v>0.78031798714742617</c:v>
                </c:pt>
                <c:pt idx="201">
                  <c:v>0.78284906257687248</c:v>
                </c:pt>
                <c:pt idx="202">
                  <c:v>0.78329047914939587</c:v>
                </c:pt>
                <c:pt idx="203">
                  <c:v>0.78842046789626885</c:v>
                </c:pt>
                <c:pt idx="204">
                  <c:v>0.79207874565652148</c:v>
                </c:pt>
                <c:pt idx="205">
                  <c:v>0.79363439847476236</c:v>
                </c:pt>
                <c:pt idx="206">
                  <c:v>0.79772441830291951</c:v>
                </c:pt>
                <c:pt idx="207">
                  <c:v>0.79958648158274082</c:v>
                </c:pt>
                <c:pt idx="208">
                  <c:v>0.80154086455890594</c:v>
                </c:pt>
                <c:pt idx="209">
                  <c:v>0.80298744742553041</c:v>
                </c:pt>
                <c:pt idx="210">
                  <c:v>0.8042785698220859</c:v>
                </c:pt>
                <c:pt idx="211">
                  <c:v>0.80512491769205918</c:v>
                </c:pt>
                <c:pt idx="212">
                  <c:v>0.80719636735330591</c:v>
                </c:pt>
                <c:pt idx="213">
                  <c:v>0.80687786506721382</c:v>
                </c:pt>
                <c:pt idx="214">
                  <c:v>0.80710796118912986</c:v>
                </c:pt>
                <c:pt idx="215">
                  <c:v>0.80489714630916698</c:v>
                </c:pt>
                <c:pt idx="216">
                  <c:v>0.80646421326789464</c:v>
                </c:pt>
                <c:pt idx="217">
                  <c:v>0.80560971738187914</c:v>
                </c:pt>
                <c:pt idx="218">
                  <c:v>0.80343999017575773</c:v>
                </c:pt>
                <c:pt idx="219">
                  <c:v>0.8010452692026192</c:v>
                </c:pt>
                <c:pt idx="220">
                  <c:v>0.79724624075373574</c:v>
                </c:pt>
                <c:pt idx="221">
                  <c:v>0.79411250972229919</c:v>
                </c:pt>
                <c:pt idx="222">
                  <c:v>0.7944993713495565</c:v>
                </c:pt>
                <c:pt idx="223">
                  <c:v>0.79515657791305994</c:v>
                </c:pt>
                <c:pt idx="224">
                  <c:v>0.79694487199701236</c:v>
                </c:pt>
                <c:pt idx="225">
                  <c:v>0.80084157994986005</c:v>
                </c:pt>
                <c:pt idx="226">
                  <c:v>0.80769433051763762</c:v>
                </c:pt>
                <c:pt idx="227">
                  <c:v>0.81847069388491311</c:v>
                </c:pt>
                <c:pt idx="228">
                  <c:v>0.82900127459008877</c:v>
                </c:pt>
                <c:pt idx="229">
                  <c:v>0.83943111230626988</c:v>
                </c:pt>
                <c:pt idx="230">
                  <c:v>0.84736163503944473</c:v>
                </c:pt>
                <c:pt idx="231">
                  <c:v>0.85492800870992891</c:v>
                </c:pt>
                <c:pt idx="232">
                  <c:v>0.86194877883424992</c:v>
                </c:pt>
                <c:pt idx="233">
                  <c:v>0.86706970068470457</c:v>
                </c:pt>
                <c:pt idx="234">
                  <c:v>0.87110767186049676</c:v>
                </c:pt>
                <c:pt idx="235">
                  <c:v>0.87523949383670119</c:v>
                </c:pt>
                <c:pt idx="236">
                  <c:v>0.87723505137917812</c:v>
                </c:pt>
                <c:pt idx="237">
                  <c:v>0.88019052688696042</c:v>
                </c:pt>
                <c:pt idx="238">
                  <c:v>0.88268733953516054</c:v>
                </c:pt>
                <c:pt idx="239">
                  <c:v>0.88451293019592958</c:v>
                </c:pt>
                <c:pt idx="240">
                  <c:v>0.88640244416311287</c:v>
                </c:pt>
                <c:pt idx="241">
                  <c:v>0.88805714620769149</c:v>
                </c:pt>
                <c:pt idx="242">
                  <c:v>0.88977908307676945</c:v>
                </c:pt>
                <c:pt idx="243">
                  <c:v>0.89075238084221153</c:v>
                </c:pt>
                <c:pt idx="244">
                  <c:v>0.89112146829058081</c:v>
                </c:pt>
                <c:pt idx="245">
                  <c:v>0.89087886545735462</c:v>
                </c:pt>
                <c:pt idx="246">
                  <c:v>0.89058876091143702</c:v>
                </c:pt>
                <c:pt idx="247">
                  <c:v>0.88978687362995668</c:v>
                </c:pt>
                <c:pt idx="248">
                  <c:v>0.88890504418221072</c:v>
                </c:pt>
                <c:pt idx="249">
                  <c:v>0.88796842924070341</c:v>
                </c:pt>
                <c:pt idx="250">
                  <c:v>0.8884648121160883</c:v>
                </c:pt>
                <c:pt idx="251">
                  <c:v>0.88873875464471985</c:v>
                </c:pt>
                <c:pt idx="252">
                  <c:v>0.88941372960039944</c:v>
                </c:pt>
                <c:pt idx="253">
                  <c:v>0.89049490663526398</c:v>
                </c:pt>
                <c:pt idx="254">
                  <c:v>0.89166072903530647</c:v>
                </c:pt>
                <c:pt idx="255">
                  <c:v>0.89287974889475974</c:v>
                </c:pt>
                <c:pt idx="256">
                  <c:v>0.8938857375494822</c:v>
                </c:pt>
                <c:pt idx="257">
                  <c:v>0.89372750983751326</c:v>
                </c:pt>
                <c:pt idx="258">
                  <c:v>0.89336871503483428</c:v>
                </c:pt>
                <c:pt idx="259">
                  <c:v>0.89309458709458145</c:v>
                </c:pt>
                <c:pt idx="260">
                  <c:v>0.89313349327109659</c:v>
                </c:pt>
                <c:pt idx="261">
                  <c:v>0.8926406771103772</c:v>
                </c:pt>
                <c:pt idx="262">
                  <c:v>0.89318594391885409</c:v>
                </c:pt>
                <c:pt idx="263">
                  <c:v>0.89365001059794669</c:v>
                </c:pt>
                <c:pt idx="264">
                  <c:v>0.89424827440266208</c:v>
                </c:pt>
                <c:pt idx="265">
                  <c:v>0.89414582893112249</c:v>
                </c:pt>
                <c:pt idx="266">
                  <c:v>0.89404748971545278</c:v>
                </c:pt>
                <c:pt idx="267">
                  <c:v>0.89354169327651289</c:v>
                </c:pt>
                <c:pt idx="268">
                  <c:v>0.89379508957564169</c:v>
                </c:pt>
                <c:pt idx="269">
                  <c:v>0.89310412309365295</c:v>
                </c:pt>
                <c:pt idx="270">
                  <c:v>0.8921054805154629</c:v>
                </c:pt>
                <c:pt idx="271">
                  <c:v>0.89072266125194899</c:v>
                </c:pt>
                <c:pt idx="272">
                  <c:v>0.889117122322447</c:v>
                </c:pt>
                <c:pt idx="273">
                  <c:v>0.88750756152206156</c:v>
                </c:pt>
                <c:pt idx="274">
                  <c:v>0.88532742766272743</c:v>
                </c:pt>
                <c:pt idx="275">
                  <c:v>0.8825882816529288</c:v>
                </c:pt>
                <c:pt idx="276">
                  <c:v>0.88029399242359618</c:v>
                </c:pt>
                <c:pt idx="277">
                  <c:v>0.87758918969793276</c:v>
                </c:pt>
                <c:pt idx="278">
                  <c:v>0.8737206753472414</c:v>
                </c:pt>
                <c:pt idx="279">
                  <c:v>0.87060656228703837</c:v>
                </c:pt>
                <c:pt idx="280">
                  <c:v>0.86672612956046247</c:v>
                </c:pt>
                <c:pt idx="281">
                  <c:v>0.86341062242361977</c:v>
                </c:pt>
                <c:pt idx="282">
                  <c:v>0.86014204881553047</c:v>
                </c:pt>
                <c:pt idx="283">
                  <c:v>0.85631852108991435</c:v>
                </c:pt>
                <c:pt idx="284">
                  <c:v>0.85314995073493116</c:v>
                </c:pt>
                <c:pt idx="285">
                  <c:v>0.84994708741312153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ED-469B-B851-743A50AFC0BA}"/>
            </c:ext>
          </c:extLst>
        </c:ser>
        <c:ser>
          <c:idx val="1"/>
          <c:order val="1"/>
          <c:tx>
            <c:strRef>
              <c:f>A!$AH$10</c:f>
              <c:strCache>
                <c:ptCount val="1"/>
                <c:pt idx="0">
                  <c:v>RKI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A!$AF$11:$AF$296</c:f>
              <c:numCache>
                <c:formatCode>dd/mm/yy;@</c:formatCode>
                <c:ptCount val="286"/>
                <c:pt idx="0">
                  <c:v>44232</c:v>
                </c:pt>
                <c:pt idx="1">
                  <c:v>44231</c:v>
                </c:pt>
                <c:pt idx="2">
                  <c:v>44230</c:v>
                </c:pt>
                <c:pt idx="3">
                  <c:v>44229</c:v>
                </c:pt>
                <c:pt idx="4">
                  <c:v>44228</c:v>
                </c:pt>
                <c:pt idx="5">
                  <c:v>44227</c:v>
                </c:pt>
                <c:pt idx="6">
                  <c:v>44226</c:v>
                </c:pt>
                <c:pt idx="7">
                  <c:v>44225</c:v>
                </c:pt>
                <c:pt idx="8">
                  <c:v>44224</c:v>
                </c:pt>
                <c:pt idx="9">
                  <c:v>44223</c:v>
                </c:pt>
                <c:pt idx="10">
                  <c:v>44222</c:v>
                </c:pt>
                <c:pt idx="11">
                  <c:v>44221</c:v>
                </c:pt>
                <c:pt idx="12">
                  <c:v>44220</c:v>
                </c:pt>
                <c:pt idx="13">
                  <c:v>44219</c:v>
                </c:pt>
                <c:pt idx="14">
                  <c:v>44218</c:v>
                </c:pt>
                <c:pt idx="15">
                  <c:v>44217</c:v>
                </c:pt>
                <c:pt idx="16">
                  <c:v>44216</c:v>
                </c:pt>
                <c:pt idx="17">
                  <c:v>44215</c:v>
                </c:pt>
                <c:pt idx="18">
                  <c:v>44214</c:v>
                </c:pt>
                <c:pt idx="19">
                  <c:v>44213</c:v>
                </c:pt>
                <c:pt idx="20">
                  <c:v>44212</c:v>
                </c:pt>
                <c:pt idx="21">
                  <c:v>44211</c:v>
                </c:pt>
                <c:pt idx="22">
                  <c:v>44210</c:v>
                </c:pt>
                <c:pt idx="23">
                  <c:v>44209</c:v>
                </c:pt>
                <c:pt idx="24">
                  <c:v>44208</c:v>
                </c:pt>
                <c:pt idx="25">
                  <c:v>44207</c:v>
                </c:pt>
                <c:pt idx="26">
                  <c:v>44206</c:v>
                </c:pt>
                <c:pt idx="27">
                  <c:v>44205</c:v>
                </c:pt>
                <c:pt idx="28">
                  <c:v>44204</c:v>
                </c:pt>
                <c:pt idx="29">
                  <c:v>44203</c:v>
                </c:pt>
                <c:pt idx="30">
                  <c:v>44202</c:v>
                </c:pt>
                <c:pt idx="31">
                  <c:v>44201</c:v>
                </c:pt>
                <c:pt idx="32">
                  <c:v>44200</c:v>
                </c:pt>
                <c:pt idx="33">
                  <c:v>44199</c:v>
                </c:pt>
                <c:pt idx="34">
                  <c:v>44198</c:v>
                </c:pt>
                <c:pt idx="35">
                  <c:v>44197</c:v>
                </c:pt>
                <c:pt idx="36">
                  <c:v>44196</c:v>
                </c:pt>
                <c:pt idx="37">
                  <c:v>44195</c:v>
                </c:pt>
                <c:pt idx="38">
                  <c:v>44194</c:v>
                </c:pt>
                <c:pt idx="39">
                  <c:v>44193</c:v>
                </c:pt>
                <c:pt idx="40">
                  <c:v>44192</c:v>
                </c:pt>
                <c:pt idx="41">
                  <c:v>44191</c:v>
                </c:pt>
                <c:pt idx="42">
                  <c:v>44190</c:v>
                </c:pt>
                <c:pt idx="43">
                  <c:v>44189</c:v>
                </c:pt>
                <c:pt idx="44">
                  <c:v>44188</c:v>
                </c:pt>
                <c:pt idx="45">
                  <c:v>44187</c:v>
                </c:pt>
                <c:pt idx="46">
                  <c:v>44186</c:v>
                </c:pt>
                <c:pt idx="47">
                  <c:v>44185</c:v>
                </c:pt>
                <c:pt idx="48">
                  <c:v>44184</c:v>
                </c:pt>
                <c:pt idx="49">
                  <c:v>44183</c:v>
                </c:pt>
                <c:pt idx="50">
                  <c:v>44182</c:v>
                </c:pt>
                <c:pt idx="51">
                  <c:v>44181</c:v>
                </c:pt>
                <c:pt idx="52">
                  <c:v>44180</c:v>
                </c:pt>
                <c:pt idx="53">
                  <c:v>44179</c:v>
                </c:pt>
                <c:pt idx="54">
                  <c:v>44178</c:v>
                </c:pt>
                <c:pt idx="55">
                  <c:v>44177</c:v>
                </c:pt>
                <c:pt idx="56">
                  <c:v>44176</c:v>
                </c:pt>
                <c:pt idx="57">
                  <c:v>44175</c:v>
                </c:pt>
                <c:pt idx="58">
                  <c:v>44174</c:v>
                </c:pt>
                <c:pt idx="59">
                  <c:v>44173</c:v>
                </c:pt>
                <c:pt idx="60">
                  <c:v>44172</c:v>
                </c:pt>
                <c:pt idx="61">
                  <c:v>44171</c:v>
                </c:pt>
                <c:pt idx="62">
                  <c:v>44170</c:v>
                </c:pt>
                <c:pt idx="63">
                  <c:v>44169</c:v>
                </c:pt>
                <c:pt idx="64">
                  <c:v>44168</c:v>
                </c:pt>
                <c:pt idx="65">
                  <c:v>44167</c:v>
                </c:pt>
                <c:pt idx="66">
                  <c:v>44166</c:v>
                </c:pt>
                <c:pt idx="67">
                  <c:v>44165</c:v>
                </c:pt>
                <c:pt idx="68">
                  <c:v>44164</c:v>
                </c:pt>
                <c:pt idx="69">
                  <c:v>44163</c:v>
                </c:pt>
                <c:pt idx="70">
                  <c:v>44162</c:v>
                </c:pt>
                <c:pt idx="71">
                  <c:v>44161</c:v>
                </c:pt>
                <c:pt idx="72">
                  <c:v>44160</c:v>
                </c:pt>
                <c:pt idx="73">
                  <c:v>44159</c:v>
                </c:pt>
                <c:pt idx="74">
                  <c:v>44158</c:v>
                </c:pt>
                <c:pt idx="75">
                  <c:v>44157</c:v>
                </c:pt>
                <c:pt idx="76">
                  <c:v>44156</c:v>
                </c:pt>
                <c:pt idx="77">
                  <c:v>44155</c:v>
                </c:pt>
                <c:pt idx="78">
                  <c:v>44154</c:v>
                </c:pt>
                <c:pt idx="79">
                  <c:v>44153</c:v>
                </c:pt>
                <c:pt idx="80">
                  <c:v>44152</c:v>
                </c:pt>
                <c:pt idx="81">
                  <c:v>44151</c:v>
                </c:pt>
                <c:pt idx="82">
                  <c:v>44150</c:v>
                </c:pt>
                <c:pt idx="83">
                  <c:v>44149</c:v>
                </c:pt>
                <c:pt idx="84">
                  <c:v>44148</c:v>
                </c:pt>
                <c:pt idx="85">
                  <c:v>44147</c:v>
                </c:pt>
                <c:pt idx="86">
                  <c:v>44146</c:v>
                </c:pt>
                <c:pt idx="87">
                  <c:v>44145</c:v>
                </c:pt>
                <c:pt idx="88">
                  <c:v>44144</c:v>
                </c:pt>
                <c:pt idx="89">
                  <c:v>44143</c:v>
                </c:pt>
                <c:pt idx="90">
                  <c:v>44142</c:v>
                </c:pt>
                <c:pt idx="91">
                  <c:v>44141</c:v>
                </c:pt>
                <c:pt idx="92">
                  <c:v>44140</c:v>
                </c:pt>
                <c:pt idx="93">
                  <c:v>44139</c:v>
                </c:pt>
                <c:pt idx="94">
                  <c:v>44138</c:v>
                </c:pt>
                <c:pt idx="95">
                  <c:v>44137</c:v>
                </c:pt>
                <c:pt idx="96">
                  <c:v>44136</c:v>
                </c:pt>
                <c:pt idx="97">
                  <c:v>44135</c:v>
                </c:pt>
                <c:pt idx="98">
                  <c:v>44134</c:v>
                </c:pt>
                <c:pt idx="99">
                  <c:v>44133</c:v>
                </c:pt>
                <c:pt idx="100">
                  <c:v>44132</c:v>
                </c:pt>
                <c:pt idx="101">
                  <c:v>44131</c:v>
                </c:pt>
                <c:pt idx="102">
                  <c:v>44130</c:v>
                </c:pt>
                <c:pt idx="103">
                  <c:v>44129</c:v>
                </c:pt>
                <c:pt idx="104">
                  <c:v>44128</c:v>
                </c:pt>
                <c:pt idx="105">
                  <c:v>44127</c:v>
                </c:pt>
                <c:pt idx="106">
                  <c:v>44126</c:v>
                </c:pt>
                <c:pt idx="107">
                  <c:v>44125</c:v>
                </c:pt>
                <c:pt idx="108">
                  <c:v>44124</c:v>
                </c:pt>
                <c:pt idx="109">
                  <c:v>44123</c:v>
                </c:pt>
                <c:pt idx="110">
                  <c:v>44122</c:v>
                </c:pt>
                <c:pt idx="111">
                  <c:v>44121</c:v>
                </c:pt>
                <c:pt idx="112">
                  <c:v>44120</c:v>
                </c:pt>
                <c:pt idx="113">
                  <c:v>44119</c:v>
                </c:pt>
                <c:pt idx="114">
                  <c:v>44118</c:v>
                </c:pt>
                <c:pt idx="115">
                  <c:v>44117</c:v>
                </c:pt>
                <c:pt idx="116">
                  <c:v>44116</c:v>
                </c:pt>
                <c:pt idx="117">
                  <c:v>44115</c:v>
                </c:pt>
                <c:pt idx="118">
                  <c:v>44114</c:v>
                </c:pt>
                <c:pt idx="119">
                  <c:v>44113</c:v>
                </c:pt>
                <c:pt idx="120">
                  <c:v>44112</c:v>
                </c:pt>
                <c:pt idx="121">
                  <c:v>44111</c:v>
                </c:pt>
                <c:pt idx="122">
                  <c:v>44110</c:v>
                </c:pt>
                <c:pt idx="123">
                  <c:v>44109</c:v>
                </c:pt>
                <c:pt idx="124">
                  <c:v>44108</c:v>
                </c:pt>
                <c:pt idx="125">
                  <c:v>44107</c:v>
                </c:pt>
                <c:pt idx="126">
                  <c:v>44106</c:v>
                </c:pt>
                <c:pt idx="127">
                  <c:v>44105</c:v>
                </c:pt>
                <c:pt idx="128">
                  <c:v>44104</c:v>
                </c:pt>
                <c:pt idx="129">
                  <c:v>44103</c:v>
                </c:pt>
                <c:pt idx="130">
                  <c:v>44102</c:v>
                </c:pt>
                <c:pt idx="131">
                  <c:v>44101</c:v>
                </c:pt>
                <c:pt idx="132">
                  <c:v>44100</c:v>
                </c:pt>
                <c:pt idx="133">
                  <c:v>44099</c:v>
                </c:pt>
                <c:pt idx="134">
                  <c:v>44098</c:v>
                </c:pt>
                <c:pt idx="135">
                  <c:v>44097</c:v>
                </c:pt>
                <c:pt idx="136">
                  <c:v>44096</c:v>
                </c:pt>
                <c:pt idx="137">
                  <c:v>44095</c:v>
                </c:pt>
                <c:pt idx="138">
                  <c:v>44094</c:v>
                </c:pt>
                <c:pt idx="139">
                  <c:v>44093</c:v>
                </c:pt>
                <c:pt idx="140">
                  <c:v>44092</c:v>
                </c:pt>
                <c:pt idx="141">
                  <c:v>44091</c:v>
                </c:pt>
                <c:pt idx="142">
                  <c:v>44090</c:v>
                </c:pt>
                <c:pt idx="143">
                  <c:v>44089</c:v>
                </c:pt>
                <c:pt idx="144">
                  <c:v>44088</c:v>
                </c:pt>
                <c:pt idx="145">
                  <c:v>44087</c:v>
                </c:pt>
                <c:pt idx="146">
                  <c:v>44086</c:v>
                </c:pt>
                <c:pt idx="147">
                  <c:v>44085</c:v>
                </c:pt>
                <c:pt idx="148">
                  <c:v>44084</c:v>
                </c:pt>
                <c:pt idx="149">
                  <c:v>44083</c:v>
                </c:pt>
                <c:pt idx="150">
                  <c:v>44082</c:v>
                </c:pt>
                <c:pt idx="151">
                  <c:v>44081</c:v>
                </c:pt>
                <c:pt idx="152">
                  <c:v>44080</c:v>
                </c:pt>
                <c:pt idx="153">
                  <c:v>44079</c:v>
                </c:pt>
                <c:pt idx="154">
                  <c:v>44078</c:v>
                </c:pt>
                <c:pt idx="155">
                  <c:v>44077</c:v>
                </c:pt>
                <c:pt idx="156">
                  <c:v>44076</c:v>
                </c:pt>
                <c:pt idx="157">
                  <c:v>44075</c:v>
                </c:pt>
                <c:pt idx="158">
                  <c:v>44074</c:v>
                </c:pt>
                <c:pt idx="159">
                  <c:v>44073</c:v>
                </c:pt>
                <c:pt idx="160">
                  <c:v>44072</c:v>
                </c:pt>
                <c:pt idx="161">
                  <c:v>44071</c:v>
                </c:pt>
                <c:pt idx="162">
                  <c:v>44070</c:v>
                </c:pt>
                <c:pt idx="163">
                  <c:v>44069</c:v>
                </c:pt>
                <c:pt idx="164">
                  <c:v>44068</c:v>
                </c:pt>
                <c:pt idx="165">
                  <c:v>44067</c:v>
                </c:pt>
                <c:pt idx="166">
                  <c:v>44066</c:v>
                </c:pt>
                <c:pt idx="167">
                  <c:v>44065</c:v>
                </c:pt>
                <c:pt idx="168">
                  <c:v>44064</c:v>
                </c:pt>
                <c:pt idx="169">
                  <c:v>44063</c:v>
                </c:pt>
                <c:pt idx="170">
                  <c:v>44062</c:v>
                </c:pt>
                <c:pt idx="171">
                  <c:v>44061</c:v>
                </c:pt>
                <c:pt idx="172">
                  <c:v>44060</c:v>
                </c:pt>
                <c:pt idx="173">
                  <c:v>44059</c:v>
                </c:pt>
                <c:pt idx="174">
                  <c:v>44058</c:v>
                </c:pt>
                <c:pt idx="175">
                  <c:v>44057</c:v>
                </c:pt>
                <c:pt idx="176">
                  <c:v>44056</c:v>
                </c:pt>
                <c:pt idx="177">
                  <c:v>44055</c:v>
                </c:pt>
                <c:pt idx="178">
                  <c:v>44054</c:v>
                </c:pt>
                <c:pt idx="179">
                  <c:v>44053</c:v>
                </c:pt>
                <c:pt idx="180">
                  <c:v>44052</c:v>
                </c:pt>
                <c:pt idx="181">
                  <c:v>44051</c:v>
                </c:pt>
                <c:pt idx="182">
                  <c:v>44050</c:v>
                </c:pt>
                <c:pt idx="183">
                  <c:v>44049</c:v>
                </c:pt>
                <c:pt idx="184">
                  <c:v>44048</c:v>
                </c:pt>
                <c:pt idx="185">
                  <c:v>44047</c:v>
                </c:pt>
                <c:pt idx="186">
                  <c:v>44046</c:v>
                </c:pt>
                <c:pt idx="187">
                  <c:v>44045</c:v>
                </c:pt>
                <c:pt idx="188">
                  <c:v>44044</c:v>
                </c:pt>
                <c:pt idx="189">
                  <c:v>44043</c:v>
                </c:pt>
                <c:pt idx="190">
                  <c:v>44042</c:v>
                </c:pt>
                <c:pt idx="191">
                  <c:v>44041</c:v>
                </c:pt>
                <c:pt idx="192">
                  <c:v>44040</c:v>
                </c:pt>
                <c:pt idx="193">
                  <c:v>44039</c:v>
                </c:pt>
                <c:pt idx="194">
                  <c:v>44038</c:v>
                </c:pt>
                <c:pt idx="195">
                  <c:v>44037</c:v>
                </c:pt>
                <c:pt idx="196">
                  <c:v>44036</c:v>
                </c:pt>
                <c:pt idx="197">
                  <c:v>44035</c:v>
                </c:pt>
                <c:pt idx="198">
                  <c:v>44034</c:v>
                </c:pt>
                <c:pt idx="199">
                  <c:v>44033</c:v>
                </c:pt>
                <c:pt idx="200">
                  <c:v>44032</c:v>
                </c:pt>
                <c:pt idx="201">
                  <c:v>44031</c:v>
                </c:pt>
                <c:pt idx="202">
                  <c:v>44030</c:v>
                </c:pt>
                <c:pt idx="203">
                  <c:v>44029</c:v>
                </c:pt>
                <c:pt idx="204">
                  <c:v>44028</c:v>
                </c:pt>
                <c:pt idx="205">
                  <c:v>44027</c:v>
                </c:pt>
                <c:pt idx="206">
                  <c:v>44026</c:v>
                </c:pt>
                <c:pt idx="207">
                  <c:v>44025</c:v>
                </c:pt>
                <c:pt idx="208">
                  <c:v>44024</c:v>
                </c:pt>
                <c:pt idx="209">
                  <c:v>44023</c:v>
                </c:pt>
                <c:pt idx="210">
                  <c:v>44022</c:v>
                </c:pt>
                <c:pt idx="211">
                  <c:v>44021</c:v>
                </c:pt>
                <c:pt idx="212">
                  <c:v>44020</c:v>
                </c:pt>
                <c:pt idx="213">
                  <c:v>44019</c:v>
                </c:pt>
                <c:pt idx="214">
                  <c:v>44018</c:v>
                </c:pt>
                <c:pt idx="215">
                  <c:v>44017</c:v>
                </c:pt>
                <c:pt idx="216">
                  <c:v>44016</c:v>
                </c:pt>
                <c:pt idx="217">
                  <c:v>44015</c:v>
                </c:pt>
                <c:pt idx="218">
                  <c:v>44014</c:v>
                </c:pt>
                <c:pt idx="219">
                  <c:v>44013</c:v>
                </c:pt>
                <c:pt idx="220">
                  <c:v>44012</c:v>
                </c:pt>
                <c:pt idx="221">
                  <c:v>44011</c:v>
                </c:pt>
                <c:pt idx="222">
                  <c:v>44010</c:v>
                </c:pt>
                <c:pt idx="223">
                  <c:v>44009</c:v>
                </c:pt>
                <c:pt idx="224">
                  <c:v>44008</c:v>
                </c:pt>
                <c:pt idx="225">
                  <c:v>44007</c:v>
                </c:pt>
                <c:pt idx="226">
                  <c:v>44006</c:v>
                </c:pt>
                <c:pt idx="227">
                  <c:v>44005</c:v>
                </c:pt>
                <c:pt idx="228">
                  <c:v>44004</c:v>
                </c:pt>
                <c:pt idx="229">
                  <c:v>44003</c:v>
                </c:pt>
                <c:pt idx="230">
                  <c:v>44002</c:v>
                </c:pt>
                <c:pt idx="231">
                  <c:v>44001</c:v>
                </c:pt>
                <c:pt idx="232">
                  <c:v>44000</c:v>
                </c:pt>
                <c:pt idx="233">
                  <c:v>43999</c:v>
                </c:pt>
                <c:pt idx="234">
                  <c:v>43998</c:v>
                </c:pt>
                <c:pt idx="235">
                  <c:v>43997</c:v>
                </c:pt>
                <c:pt idx="236">
                  <c:v>43996</c:v>
                </c:pt>
                <c:pt idx="237">
                  <c:v>43995</c:v>
                </c:pt>
                <c:pt idx="238">
                  <c:v>43994</c:v>
                </c:pt>
                <c:pt idx="239">
                  <c:v>43993</c:v>
                </c:pt>
                <c:pt idx="240">
                  <c:v>43992</c:v>
                </c:pt>
                <c:pt idx="241">
                  <c:v>43991</c:v>
                </c:pt>
                <c:pt idx="242">
                  <c:v>43990</c:v>
                </c:pt>
                <c:pt idx="243">
                  <c:v>43989</c:v>
                </c:pt>
                <c:pt idx="244">
                  <c:v>43988</c:v>
                </c:pt>
                <c:pt idx="245">
                  <c:v>43987</c:v>
                </c:pt>
                <c:pt idx="246">
                  <c:v>43986</c:v>
                </c:pt>
                <c:pt idx="247">
                  <c:v>43985</c:v>
                </c:pt>
                <c:pt idx="248">
                  <c:v>43984</c:v>
                </c:pt>
                <c:pt idx="249">
                  <c:v>43983</c:v>
                </c:pt>
                <c:pt idx="250">
                  <c:v>43982</c:v>
                </c:pt>
                <c:pt idx="251">
                  <c:v>43981</c:v>
                </c:pt>
                <c:pt idx="252">
                  <c:v>43980</c:v>
                </c:pt>
                <c:pt idx="253">
                  <c:v>43979</c:v>
                </c:pt>
                <c:pt idx="254">
                  <c:v>43978</c:v>
                </c:pt>
                <c:pt idx="255">
                  <c:v>43977</c:v>
                </c:pt>
                <c:pt idx="256">
                  <c:v>43976</c:v>
                </c:pt>
                <c:pt idx="257">
                  <c:v>43975</c:v>
                </c:pt>
                <c:pt idx="258">
                  <c:v>43974</c:v>
                </c:pt>
                <c:pt idx="259">
                  <c:v>43973</c:v>
                </c:pt>
                <c:pt idx="260">
                  <c:v>43972</c:v>
                </c:pt>
                <c:pt idx="261">
                  <c:v>43971</c:v>
                </c:pt>
                <c:pt idx="262">
                  <c:v>43970</c:v>
                </c:pt>
                <c:pt idx="263">
                  <c:v>43969</c:v>
                </c:pt>
                <c:pt idx="264">
                  <c:v>43968</c:v>
                </c:pt>
                <c:pt idx="265">
                  <c:v>43967</c:v>
                </c:pt>
                <c:pt idx="266">
                  <c:v>43966</c:v>
                </c:pt>
                <c:pt idx="267">
                  <c:v>43965</c:v>
                </c:pt>
                <c:pt idx="268">
                  <c:v>43964</c:v>
                </c:pt>
                <c:pt idx="269">
                  <c:v>43963</c:v>
                </c:pt>
                <c:pt idx="270">
                  <c:v>43962</c:v>
                </c:pt>
                <c:pt idx="271">
                  <c:v>43961</c:v>
                </c:pt>
                <c:pt idx="272">
                  <c:v>43960</c:v>
                </c:pt>
                <c:pt idx="273">
                  <c:v>43959</c:v>
                </c:pt>
                <c:pt idx="274">
                  <c:v>43958</c:v>
                </c:pt>
                <c:pt idx="275">
                  <c:v>43957</c:v>
                </c:pt>
                <c:pt idx="276">
                  <c:v>43956</c:v>
                </c:pt>
                <c:pt idx="277">
                  <c:v>43955</c:v>
                </c:pt>
                <c:pt idx="278">
                  <c:v>43954</c:v>
                </c:pt>
                <c:pt idx="279">
                  <c:v>43953</c:v>
                </c:pt>
                <c:pt idx="280">
                  <c:v>43952</c:v>
                </c:pt>
                <c:pt idx="281">
                  <c:v>43951</c:v>
                </c:pt>
                <c:pt idx="282">
                  <c:v>43950</c:v>
                </c:pt>
                <c:pt idx="283">
                  <c:v>43949</c:v>
                </c:pt>
                <c:pt idx="284">
                  <c:v>43948</c:v>
                </c:pt>
                <c:pt idx="285">
                  <c:v>43947</c:v>
                </c:pt>
              </c:numCache>
            </c:numRef>
          </c:cat>
          <c:val>
            <c:numRef>
              <c:f>A!$AH$11:$AH$296</c:f>
              <c:numCache>
                <c:formatCode>0.0%</c:formatCode>
                <c:ptCount val="286"/>
                <c:pt idx="7">
                  <c:v>0.93666957920505833</c:v>
                </c:pt>
                <c:pt idx="8">
                  <c:v>0.9382519578693328</c:v>
                </c:pt>
                <c:pt idx="9">
                  <c:v>0.94224618018412321</c:v>
                </c:pt>
                <c:pt idx="10">
                  <c:v>0.94119131164789571</c:v>
                </c:pt>
                <c:pt idx="11">
                  <c:v>0.94096562087146263</c:v>
                </c:pt>
                <c:pt idx="12">
                  <c:v>0.94418566021762407</c:v>
                </c:pt>
                <c:pt idx="13">
                  <c:v>0.94273824265381423</c:v>
                </c:pt>
                <c:pt idx="14">
                  <c:v>0.94191588458748565</c:v>
                </c:pt>
                <c:pt idx="15">
                  <c:v>0.94294287106216579</c:v>
                </c:pt>
                <c:pt idx="16">
                  <c:v>0.94184033089541719</c:v>
                </c:pt>
                <c:pt idx="17">
                  <c:v>0.9424133696503858</c:v>
                </c:pt>
                <c:pt idx="18">
                  <c:v>0.94003513749174428</c:v>
                </c:pt>
                <c:pt idx="19">
                  <c:v>0.93795494342530061</c:v>
                </c:pt>
                <c:pt idx="20">
                  <c:v>0.93652613880756408</c:v>
                </c:pt>
                <c:pt idx="21">
                  <c:v>0.93510542444834288</c:v>
                </c:pt>
                <c:pt idx="22">
                  <c:v>0.93174403800858818</c:v>
                </c:pt>
                <c:pt idx="23">
                  <c:v>0.93198208596346543</c:v>
                </c:pt>
                <c:pt idx="24">
                  <c:v>0.92977171444991369</c:v>
                </c:pt>
                <c:pt idx="25">
                  <c:v>0.92712908560964968</c:v>
                </c:pt>
                <c:pt idx="26">
                  <c:v>0.92766274491822065</c:v>
                </c:pt>
                <c:pt idx="27">
                  <c:v>0.92680049765190498</c:v>
                </c:pt>
                <c:pt idx="28">
                  <c:v>0.92852054105199633</c:v>
                </c:pt>
                <c:pt idx="29">
                  <c:v>0.93250300599088443</c:v>
                </c:pt>
                <c:pt idx="30">
                  <c:v>0.93707629904114931</c:v>
                </c:pt>
                <c:pt idx="31">
                  <c:v>0.94478286356777874</c:v>
                </c:pt>
                <c:pt idx="32">
                  <c:v>0.94800524940792685</c:v>
                </c:pt>
                <c:pt idx="33">
                  <c:v>0.94432588272259099</c:v>
                </c:pt>
                <c:pt idx="34">
                  <c:v>0.94495890471973287</c:v>
                </c:pt>
                <c:pt idx="35">
                  <c:v>0.9446960505657982</c:v>
                </c:pt>
                <c:pt idx="36">
                  <c:v>0.94511831173925454</c:v>
                </c:pt>
                <c:pt idx="37">
                  <c:v>0.94428028938689479</c:v>
                </c:pt>
                <c:pt idx="38">
                  <c:v>0.94190392130638778</c:v>
                </c:pt>
                <c:pt idx="39">
                  <c:v>0.94033878286545991</c:v>
                </c:pt>
                <c:pt idx="40">
                  <c:v>0.94101821200320024</c:v>
                </c:pt>
                <c:pt idx="41">
                  <c:v>0.93959941982583994</c:v>
                </c:pt>
                <c:pt idx="42">
                  <c:v>0.93498941775681388</c:v>
                </c:pt>
                <c:pt idx="43">
                  <c:v>0.92264132690866918</c:v>
                </c:pt>
                <c:pt idx="44">
                  <c:v>0.9064304567291448</c:v>
                </c:pt>
                <c:pt idx="45">
                  <c:v>0.8938357538618904</c:v>
                </c:pt>
                <c:pt idx="46">
                  <c:v>0.891461449596752</c:v>
                </c:pt>
                <c:pt idx="47">
                  <c:v>0.89244217383876046</c:v>
                </c:pt>
                <c:pt idx="48">
                  <c:v>0.90512805075784142</c:v>
                </c:pt>
                <c:pt idx="49">
                  <c:v>0.90910486648760469</c:v>
                </c:pt>
                <c:pt idx="50">
                  <c:v>0.91205088954073532</c:v>
                </c:pt>
                <c:pt idx="51">
                  <c:v>0.9147163276282656</c:v>
                </c:pt>
                <c:pt idx="52">
                  <c:v>0.91609723642533658</c:v>
                </c:pt>
                <c:pt idx="53">
                  <c:v>0.91947271106552275</c:v>
                </c:pt>
                <c:pt idx="54">
                  <c:v>0.92246118814140454</c:v>
                </c:pt>
                <c:pt idx="55">
                  <c:v>0.92898274084964538</c:v>
                </c:pt>
                <c:pt idx="56">
                  <c:v>0.93182056179846662</c:v>
                </c:pt>
                <c:pt idx="57">
                  <c:v>0.93264316864808927</c:v>
                </c:pt>
                <c:pt idx="58">
                  <c:v>0.93264569844392731</c:v>
                </c:pt>
                <c:pt idx="59">
                  <c:v>0.9148954093569267</c:v>
                </c:pt>
                <c:pt idx="60">
                  <c:v>0.91856853492082391</c:v>
                </c:pt>
                <c:pt idx="61">
                  <c:v>0.91523537206512173</c:v>
                </c:pt>
                <c:pt idx="62">
                  <c:v>0.91674575810351955</c:v>
                </c:pt>
                <c:pt idx="63">
                  <c:v>0.91528369485239847</c:v>
                </c:pt>
                <c:pt idx="64">
                  <c:v>0.91168970717761499</c:v>
                </c:pt>
                <c:pt idx="65">
                  <c:v>0.9089296409216826</c:v>
                </c:pt>
                <c:pt idx="66">
                  <c:v>0.90348494725037598</c:v>
                </c:pt>
                <c:pt idx="67">
                  <c:v>0.8929185392727419</c:v>
                </c:pt>
                <c:pt idx="68">
                  <c:v>0.89002857606294716</c:v>
                </c:pt>
                <c:pt idx="69">
                  <c:v>0.88730493142456135</c:v>
                </c:pt>
                <c:pt idx="70">
                  <c:v>0.88483712476504883</c:v>
                </c:pt>
                <c:pt idx="71">
                  <c:v>0.88461394661776327</c:v>
                </c:pt>
                <c:pt idx="72">
                  <c:v>0.87660789489721069</c:v>
                </c:pt>
                <c:pt idx="73">
                  <c:v>0.87708782881378788</c:v>
                </c:pt>
                <c:pt idx="74">
                  <c:v>0.87157166297086175</c:v>
                </c:pt>
                <c:pt idx="75">
                  <c:v>0.86954792632004296</c:v>
                </c:pt>
                <c:pt idx="76">
                  <c:v>0.86956873133814028</c:v>
                </c:pt>
                <c:pt idx="77">
                  <c:v>0.86370565894667384</c:v>
                </c:pt>
                <c:pt idx="78">
                  <c:v>0.8579748542959329</c:v>
                </c:pt>
                <c:pt idx="79">
                  <c:v>0.85628267940172798</c:v>
                </c:pt>
                <c:pt idx="80">
                  <c:v>0.85137896206644459</c:v>
                </c:pt>
                <c:pt idx="81">
                  <c:v>0.84649423108541511</c:v>
                </c:pt>
                <c:pt idx="82">
                  <c:v>0.83748750586036702</c:v>
                </c:pt>
                <c:pt idx="83">
                  <c:v>0.83360151153260997</c:v>
                </c:pt>
                <c:pt idx="84">
                  <c:v>0.83081053255406345</c:v>
                </c:pt>
                <c:pt idx="85">
                  <c:v>0.81651301690554201</c:v>
                </c:pt>
                <c:pt idx="86">
                  <c:v>0.80096499167494239</c:v>
                </c:pt>
                <c:pt idx="87">
                  <c:v>0.78285273385244658</c:v>
                </c:pt>
                <c:pt idx="88">
                  <c:v>0.77174648723243455</c:v>
                </c:pt>
                <c:pt idx="89">
                  <c:v>0.77777351686503315</c:v>
                </c:pt>
                <c:pt idx="90">
                  <c:v>0.77582431038396915</c:v>
                </c:pt>
                <c:pt idx="91">
                  <c:v>0.77117944265244898</c:v>
                </c:pt>
                <c:pt idx="92">
                  <c:v>0.76144084935329936</c:v>
                </c:pt>
                <c:pt idx="93">
                  <c:v>0.75782994630635592</c:v>
                </c:pt>
                <c:pt idx="94">
                  <c:v>0.76010092142175523</c:v>
                </c:pt>
                <c:pt idx="95">
                  <c:v>0.75791170265254415</c:v>
                </c:pt>
                <c:pt idx="96">
                  <c:v>0.74219180317701317</c:v>
                </c:pt>
                <c:pt idx="97">
                  <c:v>0.74768057951738087</c:v>
                </c:pt>
                <c:pt idx="98">
                  <c:v>0.74734974889691674</c:v>
                </c:pt>
                <c:pt idx="99">
                  <c:v>0.74475723159630447</c:v>
                </c:pt>
                <c:pt idx="100">
                  <c:v>0.73984972245923031</c:v>
                </c:pt>
                <c:pt idx="101">
                  <c:v>0.72582763370448988</c:v>
                </c:pt>
                <c:pt idx="102">
                  <c:v>0.71408865382402753</c:v>
                </c:pt>
                <c:pt idx="103">
                  <c:v>0.72417115506080265</c:v>
                </c:pt>
                <c:pt idx="104">
                  <c:v>0.74410880858449724</c:v>
                </c:pt>
                <c:pt idx="105">
                  <c:v>0.74875789656463954</c:v>
                </c:pt>
                <c:pt idx="106">
                  <c:v>0.7554520149667352</c:v>
                </c:pt>
                <c:pt idx="107">
                  <c:v>0.74551737680722341</c:v>
                </c:pt>
                <c:pt idx="108">
                  <c:v>0.76347699926197976</c:v>
                </c:pt>
                <c:pt idx="109">
                  <c:v>0.7546734866976772</c:v>
                </c:pt>
                <c:pt idx="110">
                  <c:v>0.73538954604140294</c:v>
                </c:pt>
                <c:pt idx="111">
                  <c:v>0.73556561676612331</c:v>
                </c:pt>
                <c:pt idx="112">
                  <c:v>0.75211359877429385</c:v>
                </c:pt>
                <c:pt idx="113">
                  <c:v>0.73105414243825118</c:v>
                </c:pt>
                <c:pt idx="114">
                  <c:v>0.7260906164760027</c:v>
                </c:pt>
                <c:pt idx="115">
                  <c:v>0.70116854539726436</c:v>
                </c:pt>
                <c:pt idx="116">
                  <c:v>0.67803712503693547</c:v>
                </c:pt>
                <c:pt idx="117">
                  <c:v>0.710176544414439</c:v>
                </c:pt>
                <c:pt idx="118">
                  <c:v>0.72107270176365879</c:v>
                </c:pt>
                <c:pt idx="119">
                  <c:v>0.71571556251111934</c:v>
                </c:pt>
                <c:pt idx="120">
                  <c:v>0.70838392253464011</c:v>
                </c:pt>
                <c:pt idx="121">
                  <c:v>0.68780276316607059</c:v>
                </c:pt>
                <c:pt idx="122">
                  <c:v>0.72198362180233766</c:v>
                </c:pt>
                <c:pt idx="123">
                  <c:v>0.75218105247187084</c:v>
                </c:pt>
                <c:pt idx="124">
                  <c:v>0.72736567494880244</c:v>
                </c:pt>
                <c:pt idx="125">
                  <c:v>0.73456508546899468</c:v>
                </c:pt>
                <c:pt idx="126">
                  <c:v>0.74527354879135432</c:v>
                </c:pt>
                <c:pt idx="127">
                  <c:v>0.71737173898682061</c:v>
                </c:pt>
                <c:pt idx="128">
                  <c:v>0.70749802178650467</c:v>
                </c:pt>
                <c:pt idx="129">
                  <c:v>0.66580057492709055</c:v>
                </c:pt>
                <c:pt idx="130">
                  <c:v>0.58008709837231642</c:v>
                </c:pt>
                <c:pt idx="131">
                  <c:v>0.5864306110477121</c:v>
                </c:pt>
                <c:pt idx="132">
                  <c:v>0.58250276238591547</c:v>
                </c:pt>
                <c:pt idx="133">
                  <c:v>0.54353319108739606</c:v>
                </c:pt>
                <c:pt idx="134">
                  <c:v>0.57484416442647845</c:v>
                </c:pt>
                <c:pt idx="135">
                  <c:v>0.56081556403089816</c:v>
                </c:pt>
                <c:pt idx="136">
                  <c:v>0.54498008486722838</c:v>
                </c:pt>
                <c:pt idx="137">
                  <c:v>0.55958263727777169</c:v>
                </c:pt>
                <c:pt idx="138">
                  <c:v>0.55168556192332641</c:v>
                </c:pt>
                <c:pt idx="139">
                  <c:v>0.53438809449112035</c:v>
                </c:pt>
                <c:pt idx="140">
                  <c:v>0.56766148862229382</c:v>
                </c:pt>
                <c:pt idx="141">
                  <c:v>0.50130443073773179</c:v>
                </c:pt>
                <c:pt idx="142">
                  <c:v>0.56417283476533642</c:v>
                </c:pt>
                <c:pt idx="143">
                  <c:v>0.62531017549446311</c:v>
                </c:pt>
                <c:pt idx="144">
                  <c:v>0.62087859085044961</c:v>
                </c:pt>
                <c:pt idx="145">
                  <c:v>0.62687605329039242</c:v>
                </c:pt>
                <c:pt idx="146">
                  <c:v>0.63885741556628173</c:v>
                </c:pt>
                <c:pt idx="147">
                  <c:v>0.61939223210306948</c:v>
                </c:pt>
                <c:pt idx="148">
                  <c:v>0.60658868657464993</c:v>
                </c:pt>
                <c:pt idx="149">
                  <c:v>0.54994529246704849</c:v>
                </c:pt>
                <c:pt idx="150">
                  <c:v>0.3925454347803064</c:v>
                </c:pt>
                <c:pt idx="151">
                  <c:v>0.27173453512369355</c:v>
                </c:pt>
                <c:pt idx="152">
                  <c:v>0.35486552497081192</c:v>
                </c:pt>
                <c:pt idx="153">
                  <c:v>0.36607113686465675</c:v>
                </c:pt>
                <c:pt idx="154">
                  <c:v>0.38636711021380044</c:v>
                </c:pt>
                <c:pt idx="155">
                  <c:v>0.38489811610544139</c:v>
                </c:pt>
                <c:pt idx="156">
                  <c:v>0.28201648192099571</c:v>
                </c:pt>
                <c:pt idx="157">
                  <c:v>0.27321972551190099</c:v>
                </c:pt>
                <c:pt idx="158">
                  <c:v>0.32910862065110924</c:v>
                </c:pt>
                <c:pt idx="159">
                  <c:v>9.7567341765110727E-2</c:v>
                </c:pt>
                <c:pt idx="160">
                  <c:v>2.5251426214144439E-2</c:v>
                </c:pt>
                <c:pt idx="161">
                  <c:v>-2.3230611307946555E-2</c:v>
                </c:pt>
                <c:pt idx="162">
                  <c:v>-0.18477678300176115</c:v>
                </c:pt>
                <c:pt idx="163">
                  <c:v>-0.18483162765687855</c:v>
                </c:pt>
                <c:pt idx="164">
                  <c:v>-1.1531741428605861E-2</c:v>
                </c:pt>
                <c:pt idx="165">
                  <c:v>7.6141599462813708E-2</c:v>
                </c:pt>
                <c:pt idx="166">
                  <c:v>5.6515277141334773E-2</c:v>
                </c:pt>
                <c:pt idx="167">
                  <c:v>0.15492512404377076</c:v>
                </c:pt>
                <c:pt idx="168">
                  <c:v>0.26512018673950261</c:v>
                </c:pt>
                <c:pt idx="169">
                  <c:v>0.25495643429246762</c:v>
                </c:pt>
                <c:pt idx="170">
                  <c:v>0.30758333947846561</c:v>
                </c:pt>
                <c:pt idx="171">
                  <c:v>0.29569087297349478</c:v>
                </c:pt>
                <c:pt idx="172">
                  <c:v>7.1444677480785326E-2</c:v>
                </c:pt>
                <c:pt idx="173">
                  <c:v>0.13284104391811574</c:v>
                </c:pt>
                <c:pt idx="174">
                  <c:v>0.16196032438286817</c:v>
                </c:pt>
                <c:pt idx="175">
                  <c:v>6.3862550450773034E-2</c:v>
                </c:pt>
                <c:pt idx="176">
                  <c:v>0.27317454605204905</c:v>
                </c:pt>
                <c:pt idx="177">
                  <c:v>0.36850162961687061</c:v>
                </c:pt>
                <c:pt idx="178">
                  <c:v>0.47406563829753517</c:v>
                </c:pt>
                <c:pt idx="179">
                  <c:v>0.54457385947328496</c:v>
                </c:pt>
                <c:pt idx="180">
                  <c:v>0.56029702515189284</c:v>
                </c:pt>
                <c:pt idx="181">
                  <c:v>0.57193129504001217</c:v>
                </c:pt>
                <c:pt idx="182">
                  <c:v>0.55468891015471056</c:v>
                </c:pt>
                <c:pt idx="183">
                  <c:v>0.5363158930888724</c:v>
                </c:pt>
                <c:pt idx="184">
                  <c:v>0.63323730522352462</c:v>
                </c:pt>
                <c:pt idx="185">
                  <c:v>0.58506240582400226</c:v>
                </c:pt>
                <c:pt idx="186">
                  <c:v>0.59469257547550636</c:v>
                </c:pt>
                <c:pt idx="187">
                  <c:v>0.6056054394901379</c:v>
                </c:pt>
                <c:pt idx="188">
                  <c:v>0.60991479691932227</c:v>
                </c:pt>
                <c:pt idx="189">
                  <c:v>0.63922871154654581</c:v>
                </c:pt>
                <c:pt idx="190">
                  <c:v>0.70130265709300066</c:v>
                </c:pt>
                <c:pt idx="191">
                  <c:v>0.64693512369531236</c:v>
                </c:pt>
                <c:pt idx="192">
                  <c:v>0.68588002680516136</c:v>
                </c:pt>
                <c:pt idx="193">
                  <c:v>0.73079819456897854</c:v>
                </c:pt>
                <c:pt idx="194">
                  <c:v>0.77111660077855326</c:v>
                </c:pt>
                <c:pt idx="195">
                  <c:v>0.80734437195889996</c:v>
                </c:pt>
                <c:pt idx="196">
                  <c:v>0.78108350799964044</c:v>
                </c:pt>
                <c:pt idx="197">
                  <c:v>0.76095054870553613</c:v>
                </c:pt>
                <c:pt idx="198">
                  <c:v>0.76189810558882343</c:v>
                </c:pt>
                <c:pt idx="199">
                  <c:v>0.77308000018006484</c:v>
                </c:pt>
                <c:pt idx="200">
                  <c:v>0.75172101965410054</c:v>
                </c:pt>
                <c:pt idx="201">
                  <c:v>0.721906435722382</c:v>
                </c:pt>
                <c:pt idx="202">
                  <c:v>0.64990433794870794</c:v>
                </c:pt>
                <c:pt idx="203">
                  <c:v>0.74116142615861669</c:v>
                </c:pt>
                <c:pt idx="204">
                  <c:v>0.74923815797549875</c:v>
                </c:pt>
                <c:pt idx="205">
                  <c:v>0.76807548351973376</c:v>
                </c:pt>
                <c:pt idx="206">
                  <c:v>0.78047851020447268</c:v>
                </c:pt>
                <c:pt idx="207">
                  <c:v>0.78963061398147172</c:v>
                </c:pt>
                <c:pt idx="208">
                  <c:v>0.79743652182390601</c:v>
                </c:pt>
                <c:pt idx="209">
                  <c:v>0.80564681325372411</c:v>
                </c:pt>
                <c:pt idx="210">
                  <c:v>0.81288463944834621</c:v>
                </c:pt>
                <c:pt idx="211">
                  <c:v>0.7687484057545807</c:v>
                </c:pt>
                <c:pt idx="212">
                  <c:v>0.70987471833764559</c:v>
                </c:pt>
                <c:pt idx="213">
                  <c:v>0.71695821120407388</c:v>
                </c:pt>
                <c:pt idx="214">
                  <c:v>0.68516108151991717</c:v>
                </c:pt>
                <c:pt idx="215">
                  <c:v>0.67773015637119416</c:v>
                </c:pt>
                <c:pt idx="216">
                  <c:v>0.65363090874769347</c:v>
                </c:pt>
                <c:pt idx="217">
                  <c:v>0.67083303507365322</c:v>
                </c:pt>
                <c:pt idx="218">
                  <c:v>0.72526111373392399</c:v>
                </c:pt>
                <c:pt idx="219">
                  <c:v>0.74195048647895623</c:v>
                </c:pt>
                <c:pt idx="220">
                  <c:v>0.75812077122776356</c:v>
                </c:pt>
                <c:pt idx="221">
                  <c:v>0.80550997855598405</c:v>
                </c:pt>
                <c:pt idx="222">
                  <c:v>0.81446347162107857</c:v>
                </c:pt>
                <c:pt idx="223">
                  <c:v>0.81893968849833487</c:v>
                </c:pt>
                <c:pt idx="224">
                  <c:v>0.81514777151724915</c:v>
                </c:pt>
                <c:pt idx="225">
                  <c:v>0.80408772180788357</c:v>
                </c:pt>
                <c:pt idx="226">
                  <c:v>0.79329536235766063</c:v>
                </c:pt>
                <c:pt idx="227">
                  <c:v>0.78576143618758709</c:v>
                </c:pt>
                <c:pt idx="228">
                  <c:v>0.77009502867151258</c:v>
                </c:pt>
                <c:pt idx="229">
                  <c:v>0.78919390174713855</c:v>
                </c:pt>
                <c:pt idx="230">
                  <c:v>0.8010873941372626</c:v>
                </c:pt>
                <c:pt idx="231">
                  <c:v>0.81061670802244656</c:v>
                </c:pt>
                <c:pt idx="232">
                  <c:v>0.82420553282495757</c:v>
                </c:pt>
                <c:pt idx="233">
                  <c:v>0.87344539490466644</c:v>
                </c:pt>
                <c:pt idx="234">
                  <c:v>0.89026722459394514</c:v>
                </c:pt>
                <c:pt idx="235">
                  <c:v>0.91798187381097052</c:v>
                </c:pt>
                <c:pt idx="236">
                  <c:v>0.91672160288928473</c:v>
                </c:pt>
                <c:pt idx="237">
                  <c:v>0.91660623511375305</c:v>
                </c:pt>
                <c:pt idx="238">
                  <c:v>0.91298254399272349</c:v>
                </c:pt>
                <c:pt idx="239">
                  <c:v>0.91138860385833409</c:v>
                </c:pt>
                <c:pt idx="240">
                  <c:v>0.91008786529908958</c:v>
                </c:pt>
                <c:pt idx="241">
                  <c:v>0.92205726189978532</c:v>
                </c:pt>
                <c:pt idx="242">
                  <c:v>0.9239277299118005</c:v>
                </c:pt>
                <c:pt idx="243">
                  <c:v>0.92778121665363633</c:v>
                </c:pt>
                <c:pt idx="244">
                  <c:v>0.92859986042100184</c:v>
                </c:pt>
                <c:pt idx="245">
                  <c:v>0.93646122982510782</c:v>
                </c:pt>
                <c:pt idx="246">
                  <c:v>0.94212157137647901</c:v>
                </c:pt>
                <c:pt idx="247">
                  <c:v>0.9330470952498241</c:v>
                </c:pt>
                <c:pt idx="248">
                  <c:v>0.92411656439656631</c:v>
                </c:pt>
                <c:pt idx="249">
                  <c:v>0.90674313727697764</c:v>
                </c:pt>
                <c:pt idx="250">
                  <c:v>0.9299916694226158</c:v>
                </c:pt>
                <c:pt idx="251">
                  <c:v>0.93012080199333624</c:v>
                </c:pt>
                <c:pt idx="252">
                  <c:v>0.93449154415397173</c:v>
                </c:pt>
                <c:pt idx="253">
                  <c:v>0.94183184306164325</c:v>
                </c:pt>
                <c:pt idx="254">
                  <c:v>0.94757040612326549</c:v>
                </c:pt>
                <c:pt idx="255">
                  <c:v>0.95028525273904363</c:v>
                </c:pt>
                <c:pt idx="256">
                  <c:v>0.95723474080843696</c:v>
                </c:pt>
                <c:pt idx="257">
                  <c:v>0.94386878824340736</c:v>
                </c:pt>
                <c:pt idx="258">
                  <c:v>0.93848103779560488</c:v>
                </c:pt>
                <c:pt idx="259">
                  <c:v>0.93277417794859185</c:v>
                </c:pt>
                <c:pt idx="260">
                  <c:v>0.93435884502214162</c:v>
                </c:pt>
                <c:pt idx="261">
                  <c:v>0.93463082179943835</c:v>
                </c:pt>
                <c:pt idx="262">
                  <c:v>0.94521938436698949</c:v>
                </c:pt>
                <c:pt idx="263">
                  <c:v>0.94408351425575276</c:v>
                </c:pt>
                <c:pt idx="264">
                  <c:v>0.94954754105064099</c:v>
                </c:pt>
                <c:pt idx="265">
                  <c:v>0.94933773342932382</c:v>
                </c:pt>
                <c:pt idx="266">
                  <c:v>0.94885215092518194</c:v>
                </c:pt>
                <c:pt idx="267">
                  <c:v>0.94926569437247654</c:v>
                </c:pt>
                <c:pt idx="268">
                  <c:v>0.94609840190843997</c:v>
                </c:pt>
                <c:pt idx="269">
                  <c:v>0.93842368366375006</c:v>
                </c:pt>
                <c:pt idx="270">
                  <c:v>0.94319565875431732</c:v>
                </c:pt>
                <c:pt idx="271">
                  <c:v>0.94497965300450215</c:v>
                </c:pt>
                <c:pt idx="272">
                  <c:v>0.94557830210334837</c:v>
                </c:pt>
                <c:pt idx="273">
                  <c:v>0.94792198471335265</c:v>
                </c:pt>
                <c:pt idx="274">
                  <c:v>0.94764102120153426</c:v>
                </c:pt>
                <c:pt idx="275">
                  <c:v>0.95596359728733094</c:v>
                </c:pt>
                <c:pt idx="276">
                  <c:v>0.96088197774521356</c:v>
                </c:pt>
                <c:pt idx="277">
                  <c:v>0.95989426082419882</c:v>
                </c:pt>
                <c:pt idx="278">
                  <c:v>0.96227425854687776</c:v>
                </c:pt>
                <c:pt idx="279">
                  <c:v>0.96046825033256589</c:v>
                </c:pt>
                <c:pt idx="280">
                  <c:v>0.95773719382815459</c:v>
                </c:pt>
                <c:pt idx="281">
                  <c:v>0.95952366676947787</c:v>
                </c:pt>
                <c:pt idx="282">
                  <c:v>0.9584793564140448</c:v>
                </c:pt>
                <c:pt idx="283">
                  <c:v>0.95602128752166859</c:v>
                </c:pt>
                <c:pt idx="284">
                  <c:v>0.95735446942204339</c:v>
                </c:pt>
                <c:pt idx="285">
                  <c:v>0.95544047630087758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ED-469B-B851-743A50AFC0BA}"/>
            </c:ext>
          </c:extLst>
        </c:ser>
        <c:ser>
          <c:idx val="2"/>
          <c:order val="2"/>
          <c:tx>
            <c:strRef>
              <c:f>A!$AI$10</c:f>
              <c:strCache>
                <c:ptCount val="1"/>
                <c:pt idx="0">
                  <c:v>Tests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A!$AF$11:$AF$296</c:f>
              <c:numCache>
                <c:formatCode>dd/mm/yy;@</c:formatCode>
                <c:ptCount val="286"/>
                <c:pt idx="0">
                  <c:v>44232</c:v>
                </c:pt>
                <c:pt idx="1">
                  <c:v>44231</c:v>
                </c:pt>
                <c:pt idx="2">
                  <c:v>44230</c:v>
                </c:pt>
                <c:pt idx="3">
                  <c:v>44229</c:v>
                </c:pt>
                <c:pt idx="4">
                  <c:v>44228</c:v>
                </c:pt>
                <c:pt idx="5">
                  <c:v>44227</c:v>
                </c:pt>
                <c:pt idx="6">
                  <c:v>44226</c:v>
                </c:pt>
                <c:pt idx="7">
                  <c:v>44225</c:v>
                </c:pt>
                <c:pt idx="8">
                  <c:v>44224</c:v>
                </c:pt>
                <c:pt idx="9">
                  <c:v>44223</c:v>
                </c:pt>
                <c:pt idx="10">
                  <c:v>44222</c:v>
                </c:pt>
                <c:pt idx="11">
                  <c:v>44221</c:v>
                </c:pt>
                <c:pt idx="12">
                  <c:v>44220</c:v>
                </c:pt>
                <c:pt idx="13">
                  <c:v>44219</c:v>
                </c:pt>
                <c:pt idx="14">
                  <c:v>44218</c:v>
                </c:pt>
                <c:pt idx="15">
                  <c:v>44217</c:v>
                </c:pt>
                <c:pt idx="16">
                  <c:v>44216</c:v>
                </c:pt>
                <c:pt idx="17">
                  <c:v>44215</c:v>
                </c:pt>
                <c:pt idx="18">
                  <c:v>44214</c:v>
                </c:pt>
                <c:pt idx="19">
                  <c:v>44213</c:v>
                </c:pt>
                <c:pt idx="20">
                  <c:v>44212</c:v>
                </c:pt>
                <c:pt idx="21">
                  <c:v>44211</c:v>
                </c:pt>
                <c:pt idx="22">
                  <c:v>44210</c:v>
                </c:pt>
                <c:pt idx="23">
                  <c:v>44209</c:v>
                </c:pt>
                <c:pt idx="24">
                  <c:v>44208</c:v>
                </c:pt>
                <c:pt idx="25">
                  <c:v>44207</c:v>
                </c:pt>
                <c:pt idx="26">
                  <c:v>44206</c:v>
                </c:pt>
                <c:pt idx="27">
                  <c:v>44205</c:v>
                </c:pt>
                <c:pt idx="28">
                  <c:v>44204</c:v>
                </c:pt>
                <c:pt idx="29">
                  <c:v>44203</c:v>
                </c:pt>
                <c:pt idx="30">
                  <c:v>44202</c:v>
                </c:pt>
                <c:pt idx="31">
                  <c:v>44201</c:v>
                </c:pt>
                <c:pt idx="32">
                  <c:v>44200</c:v>
                </c:pt>
                <c:pt idx="33">
                  <c:v>44199</c:v>
                </c:pt>
                <c:pt idx="34">
                  <c:v>44198</c:v>
                </c:pt>
                <c:pt idx="35">
                  <c:v>44197</c:v>
                </c:pt>
                <c:pt idx="36">
                  <c:v>44196</c:v>
                </c:pt>
                <c:pt idx="37">
                  <c:v>44195</c:v>
                </c:pt>
                <c:pt idx="38">
                  <c:v>44194</c:v>
                </c:pt>
                <c:pt idx="39">
                  <c:v>44193</c:v>
                </c:pt>
                <c:pt idx="40">
                  <c:v>44192</c:v>
                </c:pt>
                <c:pt idx="41">
                  <c:v>44191</c:v>
                </c:pt>
                <c:pt idx="42">
                  <c:v>44190</c:v>
                </c:pt>
                <c:pt idx="43">
                  <c:v>44189</c:v>
                </c:pt>
                <c:pt idx="44">
                  <c:v>44188</c:v>
                </c:pt>
                <c:pt idx="45">
                  <c:v>44187</c:v>
                </c:pt>
                <c:pt idx="46">
                  <c:v>44186</c:v>
                </c:pt>
                <c:pt idx="47">
                  <c:v>44185</c:v>
                </c:pt>
                <c:pt idx="48">
                  <c:v>44184</c:v>
                </c:pt>
                <c:pt idx="49">
                  <c:v>44183</c:v>
                </c:pt>
                <c:pt idx="50">
                  <c:v>44182</c:v>
                </c:pt>
                <c:pt idx="51">
                  <c:v>44181</c:v>
                </c:pt>
                <c:pt idx="52">
                  <c:v>44180</c:v>
                </c:pt>
                <c:pt idx="53">
                  <c:v>44179</c:v>
                </c:pt>
                <c:pt idx="54">
                  <c:v>44178</c:v>
                </c:pt>
                <c:pt idx="55">
                  <c:v>44177</c:v>
                </c:pt>
                <c:pt idx="56">
                  <c:v>44176</c:v>
                </c:pt>
                <c:pt idx="57">
                  <c:v>44175</c:v>
                </c:pt>
                <c:pt idx="58">
                  <c:v>44174</c:v>
                </c:pt>
                <c:pt idx="59">
                  <c:v>44173</c:v>
                </c:pt>
                <c:pt idx="60">
                  <c:v>44172</c:v>
                </c:pt>
                <c:pt idx="61">
                  <c:v>44171</c:v>
                </c:pt>
                <c:pt idx="62">
                  <c:v>44170</c:v>
                </c:pt>
                <c:pt idx="63">
                  <c:v>44169</c:v>
                </c:pt>
                <c:pt idx="64">
                  <c:v>44168</c:v>
                </c:pt>
                <c:pt idx="65">
                  <c:v>44167</c:v>
                </c:pt>
                <c:pt idx="66">
                  <c:v>44166</c:v>
                </c:pt>
                <c:pt idx="67">
                  <c:v>44165</c:v>
                </c:pt>
                <c:pt idx="68">
                  <c:v>44164</c:v>
                </c:pt>
                <c:pt idx="69">
                  <c:v>44163</c:v>
                </c:pt>
                <c:pt idx="70">
                  <c:v>44162</c:v>
                </c:pt>
                <c:pt idx="71">
                  <c:v>44161</c:v>
                </c:pt>
                <c:pt idx="72">
                  <c:v>44160</c:v>
                </c:pt>
                <c:pt idx="73">
                  <c:v>44159</c:v>
                </c:pt>
                <c:pt idx="74">
                  <c:v>44158</c:v>
                </c:pt>
                <c:pt idx="75">
                  <c:v>44157</c:v>
                </c:pt>
                <c:pt idx="76">
                  <c:v>44156</c:v>
                </c:pt>
                <c:pt idx="77">
                  <c:v>44155</c:v>
                </c:pt>
                <c:pt idx="78">
                  <c:v>44154</c:v>
                </c:pt>
                <c:pt idx="79">
                  <c:v>44153</c:v>
                </c:pt>
                <c:pt idx="80">
                  <c:v>44152</c:v>
                </c:pt>
                <c:pt idx="81">
                  <c:v>44151</c:v>
                </c:pt>
                <c:pt idx="82">
                  <c:v>44150</c:v>
                </c:pt>
                <c:pt idx="83">
                  <c:v>44149</c:v>
                </c:pt>
                <c:pt idx="84">
                  <c:v>44148</c:v>
                </c:pt>
                <c:pt idx="85">
                  <c:v>44147</c:v>
                </c:pt>
                <c:pt idx="86">
                  <c:v>44146</c:v>
                </c:pt>
                <c:pt idx="87">
                  <c:v>44145</c:v>
                </c:pt>
                <c:pt idx="88">
                  <c:v>44144</c:v>
                </c:pt>
                <c:pt idx="89">
                  <c:v>44143</c:v>
                </c:pt>
                <c:pt idx="90">
                  <c:v>44142</c:v>
                </c:pt>
                <c:pt idx="91">
                  <c:v>44141</c:v>
                </c:pt>
                <c:pt idx="92">
                  <c:v>44140</c:v>
                </c:pt>
                <c:pt idx="93">
                  <c:v>44139</c:v>
                </c:pt>
                <c:pt idx="94">
                  <c:v>44138</c:v>
                </c:pt>
                <c:pt idx="95">
                  <c:v>44137</c:v>
                </c:pt>
                <c:pt idx="96">
                  <c:v>44136</c:v>
                </c:pt>
                <c:pt idx="97">
                  <c:v>44135</c:v>
                </c:pt>
                <c:pt idx="98">
                  <c:v>44134</c:v>
                </c:pt>
                <c:pt idx="99">
                  <c:v>44133</c:v>
                </c:pt>
                <c:pt idx="100">
                  <c:v>44132</c:v>
                </c:pt>
                <c:pt idx="101">
                  <c:v>44131</c:v>
                </c:pt>
                <c:pt idx="102">
                  <c:v>44130</c:v>
                </c:pt>
                <c:pt idx="103">
                  <c:v>44129</c:v>
                </c:pt>
                <c:pt idx="104">
                  <c:v>44128</c:v>
                </c:pt>
                <c:pt idx="105">
                  <c:v>44127</c:v>
                </c:pt>
                <c:pt idx="106">
                  <c:v>44126</c:v>
                </c:pt>
                <c:pt idx="107">
                  <c:v>44125</c:v>
                </c:pt>
                <c:pt idx="108">
                  <c:v>44124</c:v>
                </c:pt>
                <c:pt idx="109">
                  <c:v>44123</c:v>
                </c:pt>
                <c:pt idx="110">
                  <c:v>44122</c:v>
                </c:pt>
                <c:pt idx="111">
                  <c:v>44121</c:v>
                </c:pt>
                <c:pt idx="112">
                  <c:v>44120</c:v>
                </c:pt>
                <c:pt idx="113">
                  <c:v>44119</c:v>
                </c:pt>
                <c:pt idx="114">
                  <c:v>44118</c:v>
                </c:pt>
                <c:pt idx="115">
                  <c:v>44117</c:v>
                </c:pt>
                <c:pt idx="116">
                  <c:v>44116</c:v>
                </c:pt>
                <c:pt idx="117">
                  <c:v>44115</c:v>
                </c:pt>
                <c:pt idx="118">
                  <c:v>44114</c:v>
                </c:pt>
                <c:pt idx="119">
                  <c:v>44113</c:v>
                </c:pt>
                <c:pt idx="120">
                  <c:v>44112</c:v>
                </c:pt>
                <c:pt idx="121">
                  <c:v>44111</c:v>
                </c:pt>
                <c:pt idx="122">
                  <c:v>44110</c:v>
                </c:pt>
                <c:pt idx="123">
                  <c:v>44109</c:v>
                </c:pt>
                <c:pt idx="124">
                  <c:v>44108</c:v>
                </c:pt>
                <c:pt idx="125">
                  <c:v>44107</c:v>
                </c:pt>
                <c:pt idx="126">
                  <c:v>44106</c:v>
                </c:pt>
                <c:pt idx="127">
                  <c:v>44105</c:v>
                </c:pt>
                <c:pt idx="128">
                  <c:v>44104</c:v>
                </c:pt>
                <c:pt idx="129">
                  <c:v>44103</c:v>
                </c:pt>
                <c:pt idx="130">
                  <c:v>44102</c:v>
                </c:pt>
                <c:pt idx="131">
                  <c:v>44101</c:v>
                </c:pt>
                <c:pt idx="132">
                  <c:v>44100</c:v>
                </c:pt>
                <c:pt idx="133">
                  <c:v>44099</c:v>
                </c:pt>
                <c:pt idx="134">
                  <c:v>44098</c:v>
                </c:pt>
                <c:pt idx="135">
                  <c:v>44097</c:v>
                </c:pt>
                <c:pt idx="136">
                  <c:v>44096</c:v>
                </c:pt>
                <c:pt idx="137">
                  <c:v>44095</c:v>
                </c:pt>
                <c:pt idx="138">
                  <c:v>44094</c:v>
                </c:pt>
                <c:pt idx="139">
                  <c:v>44093</c:v>
                </c:pt>
                <c:pt idx="140">
                  <c:v>44092</c:v>
                </c:pt>
                <c:pt idx="141">
                  <c:v>44091</c:v>
                </c:pt>
                <c:pt idx="142">
                  <c:v>44090</c:v>
                </c:pt>
                <c:pt idx="143">
                  <c:v>44089</c:v>
                </c:pt>
                <c:pt idx="144">
                  <c:v>44088</c:v>
                </c:pt>
                <c:pt idx="145">
                  <c:v>44087</c:v>
                </c:pt>
                <c:pt idx="146">
                  <c:v>44086</c:v>
                </c:pt>
                <c:pt idx="147">
                  <c:v>44085</c:v>
                </c:pt>
                <c:pt idx="148">
                  <c:v>44084</c:v>
                </c:pt>
                <c:pt idx="149">
                  <c:v>44083</c:v>
                </c:pt>
                <c:pt idx="150">
                  <c:v>44082</c:v>
                </c:pt>
                <c:pt idx="151">
                  <c:v>44081</c:v>
                </c:pt>
                <c:pt idx="152">
                  <c:v>44080</c:v>
                </c:pt>
                <c:pt idx="153">
                  <c:v>44079</c:v>
                </c:pt>
                <c:pt idx="154">
                  <c:v>44078</c:v>
                </c:pt>
                <c:pt idx="155">
                  <c:v>44077</c:v>
                </c:pt>
                <c:pt idx="156">
                  <c:v>44076</c:v>
                </c:pt>
                <c:pt idx="157">
                  <c:v>44075</c:v>
                </c:pt>
                <c:pt idx="158">
                  <c:v>44074</c:v>
                </c:pt>
                <c:pt idx="159">
                  <c:v>44073</c:v>
                </c:pt>
                <c:pt idx="160">
                  <c:v>44072</c:v>
                </c:pt>
                <c:pt idx="161">
                  <c:v>44071</c:v>
                </c:pt>
                <c:pt idx="162">
                  <c:v>44070</c:v>
                </c:pt>
                <c:pt idx="163">
                  <c:v>44069</c:v>
                </c:pt>
                <c:pt idx="164">
                  <c:v>44068</c:v>
                </c:pt>
                <c:pt idx="165">
                  <c:v>44067</c:v>
                </c:pt>
                <c:pt idx="166">
                  <c:v>44066</c:v>
                </c:pt>
                <c:pt idx="167">
                  <c:v>44065</c:v>
                </c:pt>
                <c:pt idx="168">
                  <c:v>44064</c:v>
                </c:pt>
                <c:pt idx="169">
                  <c:v>44063</c:v>
                </c:pt>
                <c:pt idx="170">
                  <c:v>44062</c:v>
                </c:pt>
                <c:pt idx="171">
                  <c:v>44061</c:v>
                </c:pt>
                <c:pt idx="172">
                  <c:v>44060</c:v>
                </c:pt>
                <c:pt idx="173">
                  <c:v>44059</c:v>
                </c:pt>
                <c:pt idx="174">
                  <c:v>44058</c:v>
                </c:pt>
                <c:pt idx="175">
                  <c:v>44057</c:v>
                </c:pt>
                <c:pt idx="176">
                  <c:v>44056</c:v>
                </c:pt>
                <c:pt idx="177">
                  <c:v>44055</c:v>
                </c:pt>
                <c:pt idx="178">
                  <c:v>44054</c:v>
                </c:pt>
                <c:pt idx="179">
                  <c:v>44053</c:v>
                </c:pt>
                <c:pt idx="180">
                  <c:v>44052</c:v>
                </c:pt>
                <c:pt idx="181">
                  <c:v>44051</c:v>
                </c:pt>
                <c:pt idx="182">
                  <c:v>44050</c:v>
                </c:pt>
                <c:pt idx="183">
                  <c:v>44049</c:v>
                </c:pt>
                <c:pt idx="184">
                  <c:v>44048</c:v>
                </c:pt>
                <c:pt idx="185">
                  <c:v>44047</c:v>
                </c:pt>
                <c:pt idx="186">
                  <c:v>44046</c:v>
                </c:pt>
                <c:pt idx="187">
                  <c:v>44045</c:v>
                </c:pt>
                <c:pt idx="188">
                  <c:v>44044</c:v>
                </c:pt>
                <c:pt idx="189">
                  <c:v>44043</c:v>
                </c:pt>
                <c:pt idx="190">
                  <c:v>44042</c:v>
                </c:pt>
                <c:pt idx="191">
                  <c:v>44041</c:v>
                </c:pt>
                <c:pt idx="192">
                  <c:v>44040</c:v>
                </c:pt>
                <c:pt idx="193">
                  <c:v>44039</c:v>
                </c:pt>
                <c:pt idx="194">
                  <c:v>44038</c:v>
                </c:pt>
                <c:pt idx="195">
                  <c:v>44037</c:v>
                </c:pt>
                <c:pt idx="196">
                  <c:v>44036</c:v>
                </c:pt>
                <c:pt idx="197">
                  <c:v>44035</c:v>
                </c:pt>
                <c:pt idx="198">
                  <c:v>44034</c:v>
                </c:pt>
                <c:pt idx="199">
                  <c:v>44033</c:v>
                </c:pt>
                <c:pt idx="200">
                  <c:v>44032</c:v>
                </c:pt>
                <c:pt idx="201">
                  <c:v>44031</c:v>
                </c:pt>
                <c:pt idx="202">
                  <c:v>44030</c:v>
                </c:pt>
                <c:pt idx="203">
                  <c:v>44029</c:v>
                </c:pt>
                <c:pt idx="204">
                  <c:v>44028</c:v>
                </c:pt>
                <c:pt idx="205">
                  <c:v>44027</c:v>
                </c:pt>
                <c:pt idx="206">
                  <c:v>44026</c:v>
                </c:pt>
                <c:pt idx="207">
                  <c:v>44025</c:v>
                </c:pt>
                <c:pt idx="208">
                  <c:v>44024</c:v>
                </c:pt>
                <c:pt idx="209">
                  <c:v>44023</c:v>
                </c:pt>
                <c:pt idx="210">
                  <c:v>44022</c:v>
                </c:pt>
                <c:pt idx="211">
                  <c:v>44021</c:v>
                </c:pt>
                <c:pt idx="212">
                  <c:v>44020</c:v>
                </c:pt>
                <c:pt idx="213">
                  <c:v>44019</c:v>
                </c:pt>
                <c:pt idx="214">
                  <c:v>44018</c:v>
                </c:pt>
                <c:pt idx="215">
                  <c:v>44017</c:v>
                </c:pt>
                <c:pt idx="216">
                  <c:v>44016</c:v>
                </c:pt>
                <c:pt idx="217">
                  <c:v>44015</c:v>
                </c:pt>
                <c:pt idx="218">
                  <c:v>44014</c:v>
                </c:pt>
                <c:pt idx="219">
                  <c:v>44013</c:v>
                </c:pt>
                <c:pt idx="220">
                  <c:v>44012</c:v>
                </c:pt>
                <c:pt idx="221">
                  <c:v>44011</c:v>
                </c:pt>
                <c:pt idx="222">
                  <c:v>44010</c:v>
                </c:pt>
                <c:pt idx="223">
                  <c:v>44009</c:v>
                </c:pt>
                <c:pt idx="224">
                  <c:v>44008</c:v>
                </c:pt>
                <c:pt idx="225">
                  <c:v>44007</c:v>
                </c:pt>
                <c:pt idx="226">
                  <c:v>44006</c:v>
                </c:pt>
                <c:pt idx="227">
                  <c:v>44005</c:v>
                </c:pt>
                <c:pt idx="228">
                  <c:v>44004</c:v>
                </c:pt>
                <c:pt idx="229">
                  <c:v>44003</c:v>
                </c:pt>
                <c:pt idx="230">
                  <c:v>44002</c:v>
                </c:pt>
                <c:pt idx="231">
                  <c:v>44001</c:v>
                </c:pt>
                <c:pt idx="232">
                  <c:v>44000</c:v>
                </c:pt>
                <c:pt idx="233">
                  <c:v>43999</c:v>
                </c:pt>
                <c:pt idx="234">
                  <c:v>43998</c:v>
                </c:pt>
                <c:pt idx="235">
                  <c:v>43997</c:v>
                </c:pt>
                <c:pt idx="236">
                  <c:v>43996</c:v>
                </c:pt>
                <c:pt idx="237">
                  <c:v>43995</c:v>
                </c:pt>
                <c:pt idx="238">
                  <c:v>43994</c:v>
                </c:pt>
                <c:pt idx="239">
                  <c:v>43993</c:v>
                </c:pt>
                <c:pt idx="240">
                  <c:v>43992</c:v>
                </c:pt>
                <c:pt idx="241">
                  <c:v>43991</c:v>
                </c:pt>
                <c:pt idx="242">
                  <c:v>43990</c:v>
                </c:pt>
                <c:pt idx="243">
                  <c:v>43989</c:v>
                </c:pt>
                <c:pt idx="244">
                  <c:v>43988</c:v>
                </c:pt>
                <c:pt idx="245">
                  <c:v>43987</c:v>
                </c:pt>
                <c:pt idx="246">
                  <c:v>43986</c:v>
                </c:pt>
                <c:pt idx="247">
                  <c:v>43985</c:v>
                </c:pt>
                <c:pt idx="248">
                  <c:v>43984</c:v>
                </c:pt>
                <c:pt idx="249">
                  <c:v>43983</c:v>
                </c:pt>
                <c:pt idx="250">
                  <c:v>43982</c:v>
                </c:pt>
                <c:pt idx="251">
                  <c:v>43981</c:v>
                </c:pt>
                <c:pt idx="252">
                  <c:v>43980</c:v>
                </c:pt>
                <c:pt idx="253">
                  <c:v>43979</c:v>
                </c:pt>
                <c:pt idx="254">
                  <c:v>43978</c:v>
                </c:pt>
                <c:pt idx="255">
                  <c:v>43977</c:v>
                </c:pt>
                <c:pt idx="256">
                  <c:v>43976</c:v>
                </c:pt>
                <c:pt idx="257">
                  <c:v>43975</c:v>
                </c:pt>
                <c:pt idx="258">
                  <c:v>43974</c:v>
                </c:pt>
                <c:pt idx="259">
                  <c:v>43973</c:v>
                </c:pt>
                <c:pt idx="260">
                  <c:v>43972</c:v>
                </c:pt>
                <c:pt idx="261">
                  <c:v>43971</c:v>
                </c:pt>
                <c:pt idx="262">
                  <c:v>43970</c:v>
                </c:pt>
                <c:pt idx="263">
                  <c:v>43969</c:v>
                </c:pt>
                <c:pt idx="264">
                  <c:v>43968</c:v>
                </c:pt>
                <c:pt idx="265">
                  <c:v>43967</c:v>
                </c:pt>
                <c:pt idx="266">
                  <c:v>43966</c:v>
                </c:pt>
                <c:pt idx="267">
                  <c:v>43965</c:v>
                </c:pt>
                <c:pt idx="268">
                  <c:v>43964</c:v>
                </c:pt>
                <c:pt idx="269">
                  <c:v>43963</c:v>
                </c:pt>
                <c:pt idx="270">
                  <c:v>43962</c:v>
                </c:pt>
                <c:pt idx="271">
                  <c:v>43961</c:v>
                </c:pt>
                <c:pt idx="272">
                  <c:v>43960</c:v>
                </c:pt>
                <c:pt idx="273">
                  <c:v>43959</c:v>
                </c:pt>
                <c:pt idx="274">
                  <c:v>43958</c:v>
                </c:pt>
                <c:pt idx="275">
                  <c:v>43957</c:v>
                </c:pt>
                <c:pt idx="276">
                  <c:v>43956</c:v>
                </c:pt>
                <c:pt idx="277">
                  <c:v>43955</c:v>
                </c:pt>
                <c:pt idx="278">
                  <c:v>43954</c:v>
                </c:pt>
                <c:pt idx="279">
                  <c:v>43953</c:v>
                </c:pt>
                <c:pt idx="280">
                  <c:v>43952</c:v>
                </c:pt>
                <c:pt idx="281">
                  <c:v>43951</c:v>
                </c:pt>
                <c:pt idx="282">
                  <c:v>43950</c:v>
                </c:pt>
                <c:pt idx="283">
                  <c:v>43949</c:v>
                </c:pt>
                <c:pt idx="284">
                  <c:v>43948</c:v>
                </c:pt>
                <c:pt idx="285">
                  <c:v>43947</c:v>
                </c:pt>
              </c:numCache>
            </c:numRef>
          </c:cat>
          <c:val>
            <c:numRef>
              <c:f>A!$AI$11:$AI$296</c:f>
              <c:numCache>
                <c:formatCode>0.0%</c:formatCode>
                <c:ptCount val="286"/>
                <c:pt idx="0">
                  <c:v>1.3342057907728153</c:v>
                </c:pt>
                <c:pt idx="1">
                  <c:v>1.3342057907728153</c:v>
                </c:pt>
                <c:pt idx="2">
                  <c:v>1.3342057907728153</c:v>
                </c:pt>
                <c:pt idx="3">
                  <c:v>1.3342057907728153</c:v>
                </c:pt>
                <c:pt idx="4">
                  <c:v>1.3342057907728153</c:v>
                </c:pt>
                <c:pt idx="5">
                  <c:v>1.3342057907728153</c:v>
                </c:pt>
                <c:pt idx="6">
                  <c:v>1.3342057907728153</c:v>
                </c:pt>
                <c:pt idx="7">
                  <c:v>1.3342057907728153</c:v>
                </c:pt>
                <c:pt idx="8">
                  <c:v>1.3342057907728153</c:v>
                </c:pt>
                <c:pt idx="9">
                  <c:v>1.3342057907728153</c:v>
                </c:pt>
                <c:pt idx="10">
                  <c:v>1.3342057907728153</c:v>
                </c:pt>
                <c:pt idx="11">
                  <c:v>1.3342057907728153</c:v>
                </c:pt>
                <c:pt idx="12">
                  <c:v>1.2984097795248533</c:v>
                </c:pt>
                <c:pt idx="13">
                  <c:v>1.2984097795248533</c:v>
                </c:pt>
                <c:pt idx="14">
                  <c:v>1.2984097795248533</c:v>
                </c:pt>
                <c:pt idx="15">
                  <c:v>1.2984097795248533</c:v>
                </c:pt>
                <c:pt idx="16">
                  <c:v>1.2984097795248533</c:v>
                </c:pt>
                <c:pt idx="17">
                  <c:v>1.2984097795248533</c:v>
                </c:pt>
                <c:pt idx="18">
                  <c:v>1.2984097795248533</c:v>
                </c:pt>
                <c:pt idx="19">
                  <c:v>1.3897854757125316</c:v>
                </c:pt>
                <c:pt idx="20">
                  <c:v>1.3897854757125316</c:v>
                </c:pt>
                <c:pt idx="21">
                  <c:v>1.3897854757125316</c:v>
                </c:pt>
                <c:pt idx="22">
                  <c:v>1.3897854757125316</c:v>
                </c:pt>
                <c:pt idx="23">
                  <c:v>1.3897854757125316</c:v>
                </c:pt>
                <c:pt idx="24">
                  <c:v>1.3897854757125316</c:v>
                </c:pt>
                <c:pt idx="25">
                  <c:v>1.3897854757125316</c:v>
                </c:pt>
                <c:pt idx="26">
                  <c:v>1.440391080416225</c:v>
                </c:pt>
                <c:pt idx="27">
                  <c:v>1.440391080416225</c:v>
                </c:pt>
                <c:pt idx="28">
                  <c:v>1.440391080416225</c:v>
                </c:pt>
                <c:pt idx="29">
                  <c:v>1.440391080416225</c:v>
                </c:pt>
                <c:pt idx="30">
                  <c:v>1.440391080416225</c:v>
                </c:pt>
                <c:pt idx="31">
                  <c:v>1.440391080416225</c:v>
                </c:pt>
                <c:pt idx="32">
                  <c:v>1.440391080416225</c:v>
                </c:pt>
                <c:pt idx="33">
                  <c:v>0.99094614472322218</c:v>
                </c:pt>
                <c:pt idx="34">
                  <c:v>0.99094614472322218</c:v>
                </c:pt>
                <c:pt idx="35">
                  <c:v>0.99094614472322218</c:v>
                </c:pt>
                <c:pt idx="36">
                  <c:v>0.99094614472322218</c:v>
                </c:pt>
                <c:pt idx="37">
                  <c:v>0.99094614472322218</c:v>
                </c:pt>
                <c:pt idx="38">
                  <c:v>0.99094614472322218</c:v>
                </c:pt>
                <c:pt idx="39">
                  <c:v>0.99094614472322218</c:v>
                </c:pt>
                <c:pt idx="40">
                  <c:v>1.2807546695387246</c:v>
                </c:pt>
                <c:pt idx="41">
                  <c:v>1.2807546695387246</c:v>
                </c:pt>
                <c:pt idx="42">
                  <c:v>1.2807546695387246</c:v>
                </c:pt>
                <c:pt idx="43">
                  <c:v>1.2807546695387246</c:v>
                </c:pt>
                <c:pt idx="44">
                  <c:v>1.2807546695387246</c:v>
                </c:pt>
                <c:pt idx="45">
                  <c:v>1.2807546695387246</c:v>
                </c:pt>
                <c:pt idx="46">
                  <c:v>1.2807546695387246</c:v>
                </c:pt>
                <c:pt idx="47">
                  <c:v>1.9619783673691755</c:v>
                </c:pt>
                <c:pt idx="48">
                  <c:v>1.9619783673691755</c:v>
                </c:pt>
                <c:pt idx="49">
                  <c:v>1.9619783673691755</c:v>
                </c:pt>
                <c:pt idx="50">
                  <c:v>1.9619783673691755</c:v>
                </c:pt>
                <c:pt idx="51">
                  <c:v>1.9619783673691755</c:v>
                </c:pt>
                <c:pt idx="52">
                  <c:v>1.9619783673691755</c:v>
                </c:pt>
                <c:pt idx="53">
                  <c:v>1.9619783673691755</c:v>
                </c:pt>
                <c:pt idx="54">
                  <c:v>1.7789324493653114</c:v>
                </c:pt>
                <c:pt idx="55">
                  <c:v>1.7789324493653114</c:v>
                </c:pt>
                <c:pt idx="56">
                  <c:v>1.7789324493653114</c:v>
                </c:pt>
                <c:pt idx="57">
                  <c:v>1.7789324493653114</c:v>
                </c:pt>
                <c:pt idx="58">
                  <c:v>1.7789324493653114</c:v>
                </c:pt>
                <c:pt idx="59">
                  <c:v>1.7789324493653114</c:v>
                </c:pt>
                <c:pt idx="60">
                  <c:v>1.7789324493653114</c:v>
                </c:pt>
                <c:pt idx="61">
                  <c:v>1.6378323785417042</c:v>
                </c:pt>
                <c:pt idx="62">
                  <c:v>1.6378323785417042</c:v>
                </c:pt>
                <c:pt idx="63">
                  <c:v>1.6378323785417042</c:v>
                </c:pt>
                <c:pt idx="64">
                  <c:v>1.6378323785417042</c:v>
                </c:pt>
                <c:pt idx="65">
                  <c:v>1.6378323785417042</c:v>
                </c:pt>
                <c:pt idx="66">
                  <c:v>1.6378323785417042</c:v>
                </c:pt>
                <c:pt idx="67">
                  <c:v>1.6378323785417042</c:v>
                </c:pt>
                <c:pt idx="68">
                  <c:v>1.6206149500672613</c:v>
                </c:pt>
                <c:pt idx="69">
                  <c:v>1.6206149500672613</c:v>
                </c:pt>
                <c:pt idx="70">
                  <c:v>1.6206149500672613</c:v>
                </c:pt>
                <c:pt idx="71">
                  <c:v>1.6206149500672613</c:v>
                </c:pt>
                <c:pt idx="72">
                  <c:v>1.6206149500672613</c:v>
                </c:pt>
                <c:pt idx="73">
                  <c:v>1.6206149500672613</c:v>
                </c:pt>
                <c:pt idx="74">
                  <c:v>1.6206149500672613</c:v>
                </c:pt>
                <c:pt idx="75">
                  <c:v>1.8560254126837119</c:v>
                </c:pt>
                <c:pt idx="76">
                  <c:v>1.8560254126837119</c:v>
                </c:pt>
                <c:pt idx="77">
                  <c:v>1.8560254126837119</c:v>
                </c:pt>
                <c:pt idx="78">
                  <c:v>1.8560254126837119</c:v>
                </c:pt>
                <c:pt idx="79">
                  <c:v>1.8560254126837119</c:v>
                </c:pt>
                <c:pt idx="80">
                  <c:v>1.8560254126837119</c:v>
                </c:pt>
                <c:pt idx="81">
                  <c:v>1.8560254126837119</c:v>
                </c:pt>
                <c:pt idx="82">
                  <c:v>1.8728626566815161</c:v>
                </c:pt>
                <c:pt idx="83">
                  <c:v>1.8728626566815161</c:v>
                </c:pt>
                <c:pt idx="84">
                  <c:v>1.8728626566815161</c:v>
                </c:pt>
                <c:pt idx="85">
                  <c:v>1.8728626566815161</c:v>
                </c:pt>
                <c:pt idx="86">
                  <c:v>1.8728626566815161</c:v>
                </c:pt>
                <c:pt idx="87">
                  <c:v>1.8728626566815161</c:v>
                </c:pt>
                <c:pt idx="88">
                  <c:v>1.8728626566815161</c:v>
                </c:pt>
                <c:pt idx="89">
                  <c:v>1.8081585443024712</c:v>
                </c:pt>
                <c:pt idx="90">
                  <c:v>1.8081585443024712</c:v>
                </c:pt>
                <c:pt idx="91">
                  <c:v>1.8081585443024712</c:v>
                </c:pt>
                <c:pt idx="92">
                  <c:v>1.8081585443024712</c:v>
                </c:pt>
                <c:pt idx="93">
                  <c:v>1.8081585443024712</c:v>
                </c:pt>
                <c:pt idx="94">
                  <c:v>1.8081585443024712</c:v>
                </c:pt>
                <c:pt idx="95">
                  <c:v>1.8081585443024712</c:v>
                </c:pt>
                <c:pt idx="96">
                  <c:v>1.8695665511417687</c:v>
                </c:pt>
                <c:pt idx="97">
                  <c:v>1.8695665511417687</c:v>
                </c:pt>
                <c:pt idx="98">
                  <c:v>1.8695665511417687</c:v>
                </c:pt>
                <c:pt idx="99">
                  <c:v>1.8695665511417687</c:v>
                </c:pt>
                <c:pt idx="100">
                  <c:v>1.8695665511417687</c:v>
                </c:pt>
                <c:pt idx="101">
                  <c:v>1.8695665511417687</c:v>
                </c:pt>
                <c:pt idx="102">
                  <c:v>1.8695665511417687</c:v>
                </c:pt>
                <c:pt idx="103">
                  <c:v>1.6724866629508719</c:v>
                </c:pt>
                <c:pt idx="104">
                  <c:v>1.6724866629508719</c:v>
                </c:pt>
                <c:pt idx="105">
                  <c:v>1.6724866629508719</c:v>
                </c:pt>
                <c:pt idx="106">
                  <c:v>1.6724866629508719</c:v>
                </c:pt>
                <c:pt idx="107">
                  <c:v>1.6724866629508719</c:v>
                </c:pt>
                <c:pt idx="108">
                  <c:v>1.6724866629508719</c:v>
                </c:pt>
                <c:pt idx="109">
                  <c:v>1.6724866629508719</c:v>
                </c:pt>
                <c:pt idx="110">
                  <c:v>1.4828555743207847</c:v>
                </c:pt>
                <c:pt idx="111">
                  <c:v>1.4828555743207847</c:v>
                </c:pt>
                <c:pt idx="112">
                  <c:v>1.4828555743207847</c:v>
                </c:pt>
                <c:pt idx="113">
                  <c:v>1.4828555743207847</c:v>
                </c:pt>
                <c:pt idx="114">
                  <c:v>1.4828555743207847</c:v>
                </c:pt>
                <c:pt idx="115">
                  <c:v>1.4828555743207847</c:v>
                </c:pt>
                <c:pt idx="116">
                  <c:v>1.4828555743207847</c:v>
                </c:pt>
                <c:pt idx="117">
                  <c:v>1.3944063598761214</c:v>
                </c:pt>
                <c:pt idx="118">
                  <c:v>1.3944063598761214</c:v>
                </c:pt>
                <c:pt idx="119">
                  <c:v>1.3944063598761214</c:v>
                </c:pt>
                <c:pt idx="120">
                  <c:v>1.3944063598761214</c:v>
                </c:pt>
                <c:pt idx="121">
                  <c:v>1.3944063598761214</c:v>
                </c:pt>
                <c:pt idx="122">
                  <c:v>1.3944063598761214</c:v>
                </c:pt>
                <c:pt idx="123">
                  <c:v>1.3944063598761214</c:v>
                </c:pt>
                <c:pt idx="124">
                  <c:v>1.3059653592936078</c:v>
                </c:pt>
                <c:pt idx="125">
                  <c:v>1.3059653592936078</c:v>
                </c:pt>
                <c:pt idx="126">
                  <c:v>1.3059653592936078</c:v>
                </c:pt>
                <c:pt idx="127">
                  <c:v>1.3059653592936078</c:v>
                </c:pt>
                <c:pt idx="128">
                  <c:v>1.3059653592936078</c:v>
                </c:pt>
                <c:pt idx="129">
                  <c:v>1.3059653592936078</c:v>
                </c:pt>
                <c:pt idx="130">
                  <c:v>1.3059653592936078</c:v>
                </c:pt>
                <c:pt idx="131">
                  <c:v>1.3564547965183282</c:v>
                </c:pt>
                <c:pt idx="132">
                  <c:v>1.3564547965183282</c:v>
                </c:pt>
                <c:pt idx="133">
                  <c:v>1.3564547965183282</c:v>
                </c:pt>
                <c:pt idx="134">
                  <c:v>1.3564547965183282</c:v>
                </c:pt>
                <c:pt idx="135">
                  <c:v>1.3564547965183282</c:v>
                </c:pt>
                <c:pt idx="136">
                  <c:v>1.3564547965183282</c:v>
                </c:pt>
                <c:pt idx="137">
                  <c:v>1.3564547965183282</c:v>
                </c:pt>
                <c:pt idx="138">
                  <c:v>1.3453895507939369</c:v>
                </c:pt>
                <c:pt idx="139">
                  <c:v>1.3453895507939369</c:v>
                </c:pt>
                <c:pt idx="140">
                  <c:v>1.3453895507939369</c:v>
                </c:pt>
                <c:pt idx="141">
                  <c:v>1.3453895507939369</c:v>
                </c:pt>
                <c:pt idx="142">
                  <c:v>1.3453895507939369</c:v>
                </c:pt>
                <c:pt idx="143">
                  <c:v>1.3453895507939369</c:v>
                </c:pt>
                <c:pt idx="144">
                  <c:v>1.3453895507939369</c:v>
                </c:pt>
                <c:pt idx="145">
                  <c:v>1.366941551665612</c:v>
                </c:pt>
                <c:pt idx="146">
                  <c:v>1.366941551665612</c:v>
                </c:pt>
                <c:pt idx="147">
                  <c:v>1.366941551665612</c:v>
                </c:pt>
                <c:pt idx="148">
                  <c:v>1.366941551665612</c:v>
                </c:pt>
                <c:pt idx="149">
                  <c:v>1.366941551665612</c:v>
                </c:pt>
                <c:pt idx="150">
                  <c:v>1.366941551665612</c:v>
                </c:pt>
                <c:pt idx="151">
                  <c:v>1.366941551665612</c:v>
                </c:pt>
                <c:pt idx="152">
                  <c:v>1.2582651149731163</c:v>
                </c:pt>
                <c:pt idx="153">
                  <c:v>1.2582651149731163</c:v>
                </c:pt>
                <c:pt idx="154">
                  <c:v>1.2582651149731163</c:v>
                </c:pt>
                <c:pt idx="155">
                  <c:v>1.2582651149731163</c:v>
                </c:pt>
                <c:pt idx="156">
                  <c:v>1.2582651149731163</c:v>
                </c:pt>
                <c:pt idx="157">
                  <c:v>1.2582651149731163</c:v>
                </c:pt>
                <c:pt idx="158">
                  <c:v>1.2582651149731163</c:v>
                </c:pt>
                <c:pt idx="159">
                  <c:v>1.3152540639759285</c:v>
                </c:pt>
                <c:pt idx="160">
                  <c:v>1.3152540639759285</c:v>
                </c:pt>
                <c:pt idx="161">
                  <c:v>1.3152540639759285</c:v>
                </c:pt>
                <c:pt idx="162">
                  <c:v>1.3152540639759285</c:v>
                </c:pt>
                <c:pt idx="163">
                  <c:v>1.3152540639759285</c:v>
                </c:pt>
                <c:pt idx="164">
                  <c:v>1.3152540639759285</c:v>
                </c:pt>
                <c:pt idx="165">
                  <c:v>1.3152540639759285</c:v>
                </c:pt>
                <c:pt idx="166">
                  <c:v>1.1829181840659455</c:v>
                </c:pt>
                <c:pt idx="167">
                  <c:v>1.1829181840659455</c:v>
                </c:pt>
                <c:pt idx="168">
                  <c:v>1.1829181840659455</c:v>
                </c:pt>
                <c:pt idx="169">
                  <c:v>1.1829181840659455</c:v>
                </c:pt>
                <c:pt idx="170">
                  <c:v>1.1829181840659455</c:v>
                </c:pt>
                <c:pt idx="171">
                  <c:v>1.1829181840659455</c:v>
                </c:pt>
                <c:pt idx="172">
                  <c:v>1.1829181840659455</c:v>
                </c:pt>
                <c:pt idx="173">
                  <c:v>1.0292720255132617</c:v>
                </c:pt>
                <c:pt idx="174">
                  <c:v>1.0292720255132617</c:v>
                </c:pt>
                <c:pt idx="175">
                  <c:v>1.0292720255132617</c:v>
                </c:pt>
                <c:pt idx="176">
                  <c:v>1.0292720255132617</c:v>
                </c:pt>
                <c:pt idx="177">
                  <c:v>1.0292720255132617</c:v>
                </c:pt>
                <c:pt idx="178">
                  <c:v>1.0292720255132617</c:v>
                </c:pt>
                <c:pt idx="179">
                  <c:v>1.0292720255132617</c:v>
                </c:pt>
                <c:pt idx="180">
                  <c:v>0.84106193503505566</c:v>
                </c:pt>
                <c:pt idx="181">
                  <c:v>0.84106193503505566</c:v>
                </c:pt>
                <c:pt idx="182">
                  <c:v>0.84106193503505566</c:v>
                </c:pt>
                <c:pt idx="183">
                  <c:v>0.84106193503505566</c:v>
                </c:pt>
                <c:pt idx="184">
                  <c:v>0.84106193503505566</c:v>
                </c:pt>
                <c:pt idx="185">
                  <c:v>0.84106193503505566</c:v>
                </c:pt>
                <c:pt idx="186">
                  <c:v>0.84106193503505566</c:v>
                </c:pt>
                <c:pt idx="187">
                  <c:v>0.68834511631415507</c:v>
                </c:pt>
                <c:pt idx="188">
                  <c:v>0.68834511631415507</c:v>
                </c:pt>
                <c:pt idx="189">
                  <c:v>0.68834511631415507</c:v>
                </c:pt>
                <c:pt idx="190">
                  <c:v>0.68834511631415507</c:v>
                </c:pt>
                <c:pt idx="191">
                  <c:v>0.68834511631415507</c:v>
                </c:pt>
                <c:pt idx="192">
                  <c:v>0.68834511631415507</c:v>
                </c:pt>
                <c:pt idx="193">
                  <c:v>0.68834511631415507</c:v>
                </c:pt>
                <c:pt idx="194">
                  <c:v>0.67457281630703081</c:v>
                </c:pt>
                <c:pt idx="195">
                  <c:v>0.67457281630703081</c:v>
                </c:pt>
                <c:pt idx="196">
                  <c:v>0.67457281630703081</c:v>
                </c:pt>
                <c:pt idx="197">
                  <c:v>0.67457281630703081</c:v>
                </c:pt>
                <c:pt idx="198">
                  <c:v>0.67457281630703081</c:v>
                </c:pt>
                <c:pt idx="199">
                  <c:v>0.67457281630703081</c:v>
                </c:pt>
                <c:pt idx="200">
                  <c:v>0.67457281630703081</c:v>
                </c:pt>
                <c:pt idx="201">
                  <c:v>0.6321165362646205</c:v>
                </c:pt>
                <c:pt idx="202">
                  <c:v>0.6321165362646205</c:v>
                </c:pt>
                <c:pt idx="203">
                  <c:v>0.6321165362646205</c:v>
                </c:pt>
                <c:pt idx="204">
                  <c:v>0.6321165362646205</c:v>
                </c:pt>
                <c:pt idx="205">
                  <c:v>0.6321165362646205</c:v>
                </c:pt>
                <c:pt idx="206">
                  <c:v>0.6321165362646205</c:v>
                </c:pt>
                <c:pt idx="207">
                  <c:v>0.6321165362646205</c:v>
                </c:pt>
                <c:pt idx="208">
                  <c:v>0.5990850763344383</c:v>
                </c:pt>
                <c:pt idx="209">
                  <c:v>0.5990850763344383</c:v>
                </c:pt>
                <c:pt idx="210">
                  <c:v>0.5990850763344383</c:v>
                </c:pt>
                <c:pt idx="211">
                  <c:v>0.5990850763344383</c:v>
                </c:pt>
                <c:pt idx="212">
                  <c:v>0.5990850763344383</c:v>
                </c:pt>
                <c:pt idx="213">
                  <c:v>0.5990850763344383</c:v>
                </c:pt>
                <c:pt idx="214">
                  <c:v>0.5990850763344383</c:v>
                </c:pt>
                <c:pt idx="215">
                  <c:v>0.59569627149328852</c:v>
                </c:pt>
                <c:pt idx="216">
                  <c:v>0.59569627149328852</c:v>
                </c:pt>
                <c:pt idx="217">
                  <c:v>0.59569627149328852</c:v>
                </c:pt>
                <c:pt idx="218">
                  <c:v>0.59569627149328852</c:v>
                </c:pt>
                <c:pt idx="219">
                  <c:v>0.59569627149328852</c:v>
                </c:pt>
                <c:pt idx="220">
                  <c:v>0.59569627149328852</c:v>
                </c:pt>
                <c:pt idx="221">
                  <c:v>0.59569627149328852</c:v>
                </c:pt>
                <c:pt idx="222">
                  <c:v>0.54846656413308137</c:v>
                </c:pt>
                <c:pt idx="223">
                  <c:v>0.54846656413308137</c:v>
                </c:pt>
                <c:pt idx="224">
                  <c:v>0.54846656413308137</c:v>
                </c:pt>
                <c:pt idx="225">
                  <c:v>0.54846656413308137</c:v>
                </c:pt>
                <c:pt idx="226">
                  <c:v>0.54846656413308137</c:v>
                </c:pt>
                <c:pt idx="227">
                  <c:v>0.54846656413308137</c:v>
                </c:pt>
                <c:pt idx="228">
                  <c:v>0.54846656413308137</c:v>
                </c:pt>
                <c:pt idx="229">
                  <c:v>0.45550207232389434</c:v>
                </c:pt>
                <c:pt idx="230">
                  <c:v>0.45550207232389434</c:v>
                </c:pt>
                <c:pt idx="231">
                  <c:v>0.45550207232389434</c:v>
                </c:pt>
                <c:pt idx="232">
                  <c:v>0.45550207232389434</c:v>
                </c:pt>
                <c:pt idx="233">
                  <c:v>0.45550207232389434</c:v>
                </c:pt>
                <c:pt idx="234">
                  <c:v>0.45550207232389434</c:v>
                </c:pt>
                <c:pt idx="235">
                  <c:v>0.45550207232389434</c:v>
                </c:pt>
                <c:pt idx="236">
                  <c:v>0.38393469141441872</c:v>
                </c:pt>
                <c:pt idx="237">
                  <c:v>0.38393469141441872</c:v>
                </c:pt>
                <c:pt idx="238">
                  <c:v>0.38393469141441872</c:v>
                </c:pt>
                <c:pt idx="239">
                  <c:v>0.38393469141441872</c:v>
                </c:pt>
                <c:pt idx="240">
                  <c:v>0.38393469141441872</c:v>
                </c:pt>
                <c:pt idx="241">
                  <c:v>0.38393469141441872</c:v>
                </c:pt>
                <c:pt idx="242">
                  <c:v>0.38393469141441872</c:v>
                </c:pt>
                <c:pt idx="243">
                  <c:v>0.4001159998491331</c:v>
                </c:pt>
                <c:pt idx="244">
                  <c:v>0.4001159998491331</c:v>
                </c:pt>
                <c:pt idx="245">
                  <c:v>0.4001159998491331</c:v>
                </c:pt>
                <c:pt idx="246">
                  <c:v>0.4001159998491331</c:v>
                </c:pt>
                <c:pt idx="247">
                  <c:v>0.4001159998491331</c:v>
                </c:pt>
                <c:pt idx="248">
                  <c:v>0.4001159998491331</c:v>
                </c:pt>
                <c:pt idx="249">
                  <c:v>0.4001159998491331</c:v>
                </c:pt>
                <c:pt idx="250">
                  <c:v>0.47554624278667845</c:v>
                </c:pt>
                <c:pt idx="251">
                  <c:v>0.47554624278667845</c:v>
                </c:pt>
                <c:pt idx="252">
                  <c:v>0.47554624278667845</c:v>
                </c:pt>
                <c:pt idx="253">
                  <c:v>0.47554624278667845</c:v>
                </c:pt>
                <c:pt idx="254">
                  <c:v>0.47554624278667845</c:v>
                </c:pt>
                <c:pt idx="255">
                  <c:v>0.47554624278667845</c:v>
                </c:pt>
                <c:pt idx="256">
                  <c:v>0.47554624278667845</c:v>
                </c:pt>
                <c:pt idx="257">
                  <c:v>0.41476131606187217</c:v>
                </c:pt>
                <c:pt idx="258">
                  <c:v>0.41476131606187217</c:v>
                </c:pt>
                <c:pt idx="259">
                  <c:v>0.41476131606187217</c:v>
                </c:pt>
                <c:pt idx="260">
                  <c:v>0.41476131606187217</c:v>
                </c:pt>
                <c:pt idx="261">
                  <c:v>0.41476131606187217</c:v>
                </c:pt>
                <c:pt idx="262">
                  <c:v>0.41476131606187217</c:v>
                </c:pt>
                <c:pt idx="263">
                  <c:v>0.41476131606187217</c:v>
                </c:pt>
                <c:pt idx="264">
                  <c:v>0.50769412583133922</c:v>
                </c:pt>
                <c:pt idx="265">
                  <c:v>0.50769412583133922</c:v>
                </c:pt>
                <c:pt idx="266">
                  <c:v>0.50769412583133922</c:v>
                </c:pt>
                <c:pt idx="267">
                  <c:v>0.50769412583133922</c:v>
                </c:pt>
                <c:pt idx="268">
                  <c:v>0.50769412583133922</c:v>
                </c:pt>
                <c:pt idx="269">
                  <c:v>0.50769412583133922</c:v>
                </c:pt>
                <c:pt idx="270">
                  <c:v>0.50769412583133922</c:v>
                </c:pt>
                <c:pt idx="271">
                  <c:v>0.47391051081002933</c:v>
                </c:pt>
                <c:pt idx="272">
                  <c:v>0.47391051081002933</c:v>
                </c:pt>
                <c:pt idx="273">
                  <c:v>0.47391051081002933</c:v>
                </c:pt>
                <c:pt idx="274">
                  <c:v>0.47391051081002933</c:v>
                </c:pt>
                <c:pt idx="275">
                  <c:v>0.47391051081002933</c:v>
                </c:pt>
                <c:pt idx="276">
                  <c:v>0.47391051081002933</c:v>
                </c:pt>
                <c:pt idx="277">
                  <c:v>0.47391051081002933</c:v>
                </c:pt>
                <c:pt idx="278">
                  <c:v>0.38345594059198473</c:v>
                </c:pt>
                <c:pt idx="279">
                  <c:v>0.38345594059198473</c:v>
                </c:pt>
                <c:pt idx="280">
                  <c:v>0.38345594059198473</c:v>
                </c:pt>
                <c:pt idx="281">
                  <c:v>0.38345594059198473</c:v>
                </c:pt>
                <c:pt idx="282">
                  <c:v>0.38345594059198473</c:v>
                </c:pt>
                <c:pt idx="283">
                  <c:v>0.38345594059198473</c:v>
                </c:pt>
                <c:pt idx="284">
                  <c:v>0.38345594059198473</c:v>
                </c:pt>
                <c:pt idx="285">
                  <c:v>0.47391051081002933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ED-469B-B851-743A50AFC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5318447"/>
        <c:axId val="1345324687"/>
      </c:lineChart>
      <c:dateAx>
        <c:axId val="1345318447"/>
        <c:scaling>
          <c:orientation val="minMax"/>
        </c:scaling>
        <c:delete val="0"/>
        <c:axPos val="b"/>
        <c:numFmt formatCode="dd/mm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45324687"/>
        <c:crosses val="autoZero"/>
        <c:auto val="1"/>
        <c:lblOffset val="100"/>
        <c:baseTimeUnit val="days"/>
      </c:dateAx>
      <c:valAx>
        <c:axId val="1345324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45318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A!$AC$10</c:f>
              <c:strCache>
                <c:ptCount val="1"/>
                <c:pt idx="0">
                  <c:v>DIVI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A!$Z$11:$Z$296</c:f>
              <c:numCache>
                <c:formatCode>dd/mm/yy;@</c:formatCode>
                <c:ptCount val="286"/>
                <c:pt idx="0">
                  <c:v>44232</c:v>
                </c:pt>
                <c:pt idx="1">
                  <c:v>44231</c:v>
                </c:pt>
                <c:pt idx="2">
                  <c:v>44230</c:v>
                </c:pt>
                <c:pt idx="3">
                  <c:v>44229</c:v>
                </c:pt>
                <c:pt idx="4">
                  <c:v>44228</c:v>
                </c:pt>
                <c:pt idx="5">
                  <c:v>44227</c:v>
                </c:pt>
                <c:pt idx="6">
                  <c:v>44226</c:v>
                </c:pt>
                <c:pt idx="7">
                  <c:v>44225</c:v>
                </c:pt>
                <c:pt idx="8">
                  <c:v>44224</c:v>
                </c:pt>
                <c:pt idx="9">
                  <c:v>44223</c:v>
                </c:pt>
                <c:pt idx="10">
                  <c:v>44222</c:v>
                </c:pt>
                <c:pt idx="11">
                  <c:v>44221</c:v>
                </c:pt>
                <c:pt idx="12">
                  <c:v>44220</c:v>
                </c:pt>
                <c:pt idx="13">
                  <c:v>44219</c:v>
                </c:pt>
                <c:pt idx="14">
                  <c:v>44218</c:v>
                </c:pt>
                <c:pt idx="15">
                  <c:v>44217</c:v>
                </c:pt>
                <c:pt idx="16">
                  <c:v>44216</c:v>
                </c:pt>
                <c:pt idx="17">
                  <c:v>44215</c:v>
                </c:pt>
                <c:pt idx="18">
                  <c:v>44214</c:v>
                </c:pt>
                <c:pt idx="19">
                  <c:v>44213</c:v>
                </c:pt>
                <c:pt idx="20">
                  <c:v>44212</c:v>
                </c:pt>
                <c:pt idx="21">
                  <c:v>44211</c:v>
                </c:pt>
                <c:pt idx="22">
                  <c:v>44210</c:v>
                </c:pt>
                <c:pt idx="23">
                  <c:v>44209</c:v>
                </c:pt>
                <c:pt idx="24">
                  <c:v>44208</c:v>
                </c:pt>
                <c:pt idx="25">
                  <c:v>44207</c:v>
                </c:pt>
                <c:pt idx="26">
                  <c:v>44206</c:v>
                </c:pt>
                <c:pt idx="27">
                  <c:v>44205</c:v>
                </c:pt>
                <c:pt idx="28">
                  <c:v>44204</c:v>
                </c:pt>
                <c:pt idx="29">
                  <c:v>44203</c:v>
                </c:pt>
                <c:pt idx="30">
                  <c:v>44202</c:v>
                </c:pt>
                <c:pt idx="31">
                  <c:v>44201</c:v>
                </c:pt>
                <c:pt idx="32">
                  <c:v>44200</c:v>
                </c:pt>
                <c:pt idx="33">
                  <c:v>44199</c:v>
                </c:pt>
                <c:pt idx="34">
                  <c:v>44198</c:v>
                </c:pt>
                <c:pt idx="35">
                  <c:v>44197</c:v>
                </c:pt>
                <c:pt idx="36">
                  <c:v>44196</c:v>
                </c:pt>
                <c:pt idx="37">
                  <c:v>44195</c:v>
                </c:pt>
                <c:pt idx="38">
                  <c:v>44194</c:v>
                </c:pt>
                <c:pt idx="39">
                  <c:v>44193</c:v>
                </c:pt>
                <c:pt idx="40">
                  <c:v>44192</c:v>
                </c:pt>
                <c:pt idx="41">
                  <c:v>44191</c:v>
                </c:pt>
                <c:pt idx="42">
                  <c:v>44190</c:v>
                </c:pt>
                <c:pt idx="43">
                  <c:v>44189</c:v>
                </c:pt>
                <c:pt idx="44">
                  <c:v>44188</c:v>
                </c:pt>
                <c:pt idx="45">
                  <c:v>44187</c:v>
                </c:pt>
                <c:pt idx="46">
                  <c:v>44186</c:v>
                </c:pt>
                <c:pt idx="47">
                  <c:v>44185</c:v>
                </c:pt>
                <c:pt idx="48">
                  <c:v>44184</c:v>
                </c:pt>
                <c:pt idx="49">
                  <c:v>44183</c:v>
                </c:pt>
                <c:pt idx="50">
                  <c:v>44182</c:v>
                </c:pt>
                <c:pt idx="51">
                  <c:v>44181</c:v>
                </c:pt>
                <c:pt idx="52">
                  <c:v>44180</c:v>
                </c:pt>
                <c:pt idx="53">
                  <c:v>44179</c:v>
                </c:pt>
                <c:pt idx="54">
                  <c:v>44178</c:v>
                </c:pt>
                <c:pt idx="55">
                  <c:v>44177</c:v>
                </c:pt>
                <c:pt idx="56">
                  <c:v>44176</c:v>
                </c:pt>
                <c:pt idx="57">
                  <c:v>44175</c:v>
                </c:pt>
                <c:pt idx="58">
                  <c:v>44174</c:v>
                </c:pt>
                <c:pt idx="59">
                  <c:v>44173</c:v>
                </c:pt>
                <c:pt idx="60">
                  <c:v>44172</c:v>
                </c:pt>
                <c:pt idx="61">
                  <c:v>44171</c:v>
                </c:pt>
                <c:pt idx="62">
                  <c:v>44170</c:v>
                </c:pt>
                <c:pt idx="63">
                  <c:v>44169</c:v>
                </c:pt>
                <c:pt idx="64">
                  <c:v>44168</c:v>
                </c:pt>
                <c:pt idx="65">
                  <c:v>44167</c:v>
                </c:pt>
                <c:pt idx="66">
                  <c:v>44166</c:v>
                </c:pt>
                <c:pt idx="67">
                  <c:v>44165</c:v>
                </c:pt>
                <c:pt idx="68">
                  <c:v>44164</c:v>
                </c:pt>
                <c:pt idx="69">
                  <c:v>44163</c:v>
                </c:pt>
                <c:pt idx="70">
                  <c:v>44162</c:v>
                </c:pt>
                <c:pt idx="71">
                  <c:v>44161</c:v>
                </c:pt>
                <c:pt idx="72">
                  <c:v>44160</c:v>
                </c:pt>
                <c:pt idx="73">
                  <c:v>44159</c:v>
                </c:pt>
                <c:pt idx="74">
                  <c:v>44158</c:v>
                </c:pt>
                <c:pt idx="75">
                  <c:v>44157</c:v>
                </c:pt>
                <c:pt idx="76">
                  <c:v>44156</c:v>
                </c:pt>
                <c:pt idx="77">
                  <c:v>44155</c:v>
                </c:pt>
                <c:pt idx="78">
                  <c:v>44154</c:v>
                </c:pt>
                <c:pt idx="79">
                  <c:v>44153</c:v>
                </c:pt>
                <c:pt idx="80">
                  <c:v>44152</c:v>
                </c:pt>
                <c:pt idx="81">
                  <c:v>44151</c:v>
                </c:pt>
                <c:pt idx="82">
                  <c:v>44150</c:v>
                </c:pt>
                <c:pt idx="83">
                  <c:v>44149</c:v>
                </c:pt>
                <c:pt idx="84">
                  <c:v>44148</c:v>
                </c:pt>
                <c:pt idx="85">
                  <c:v>44147</c:v>
                </c:pt>
                <c:pt idx="86">
                  <c:v>44146</c:v>
                </c:pt>
                <c:pt idx="87">
                  <c:v>44145</c:v>
                </c:pt>
                <c:pt idx="88">
                  <c:v>44144</c:v>
                </c:pt>
                <c:pt idx="89">
                  <c:v>44143</c:v>
                </c:pt>
                <c:pt idx="90">
                  <c:v>44142</c:v>
                </c:pt>
                <c:pt idx="91">
                  <c:v>44141</c:v>
                </c:pt>
                <c:pt idx="92">
                  <c:v>44140</c:v>
                </c:pt>
                <c:pt idx="93">
                  <c:v>44139</c:v>
                </c:pt>
                <c:pt idx="94">
                  <c:v>44138</c:v>
                </c:pt>
                <c:pt idx="95">
                  <c:v>44137</c:v>
                </c:pt>
                <c:pt idx="96">
                  <c:v>44136</c:v>
                </c:pt>
                <c:pt idx="97">
                  <c:v>44135</c:v>
                </c:pt>
                <c:pt idx="98">
                  <c:v>44134</c:v>
                </c:pt>
                <c:pt idx="99">
                  <c:v>44133</c:v>
                </c:pt>
                <c:pt idx="100">
                  <c:v>44132</c:v>
                </c:pt>
                <c:pt idx="101">
                  <c:v>44131</c:v>
                </c:pt>
                <c:pt idx="102">
                  <c:v>44130</c:v>
                </c:pt>
                <c:pt idx="103">
                  <c:v>44129</c:v>
                </c:pt>
                <c:pt idx="104">
                  <c:v>44128</c:v>
                </c:pt>
                <c:pt idx="105">
                  <c:v>44127</c:v>
                </c:pt>
                <c:pt idx="106">
                  <c:v>44126</c:v>
                </c:pt>
                <c:pt idx="107">
                  <c:v>44125</c:v>
                </c:pt>
                <c:pt idx="108">
                  <c:v>44124</c:v>
                </c:pt>
                <c:pt idx="109">
                  <c:v>44123</c:v>
                </c:pt>
                <c:pt idx="110">
                  <c:v>44122</c:v>
                </c:pt>
                <c:pt idx="111">
                  <c:v>44121</c:v>
                </c:pt>
                <c:pt idx="112">
                  <c:v>44120</c:v>
                </c:pt>
                <c:pt idx="113">
                  <c:v>44119</c:v>
                </c:pt>
                <c:pt idx="114">
                  <c:v>44118</c:v>
                </c:pt>
                <c:pt idx="115">
                  <c:v>44117</c:v>
                </c:pt>
                <c:pt idx="116">
                  <c:v>44116</c:v>
                </c:pt>
                <c:pt idx="117">
                  <c:v>44115</c:v>
                </c:pt>
                <c:pt idx="118">
                  <c:v>44114</c:v>
                </c:pt>
                <c:pt idx="119">
                  <c:v>44113</c:v>
                </c:pt>
                <c:pt idx="120">
                  <c:v>44112</c:v>
                </c:pt>
                <c:pt idx="121">
                  <c:v>44111</c:v>
                </c:pt>
                <c:pt idx="122">
                  <c:v>44110</c:v>
                </c:pt>
                <c:pt idx="123">
                  <c:v>44109</c:v>
                </c:pt>
                <c:pt idx="124">
                  <c:v>44108</c:v>
                </c:pt>
                <c:pt idx="125">
                  <c:v>44107</c:v>
                </c:pt>
                <c:pt idx="126">
                  <c:v>44106</c:v>
                </c:pt>
                <c:pt idx="127">
                  <c:v>44105</c:v>
                </c:pt>
                <c:pt idx="128">
                  <c:v>44104</c:v>
                </c:pt>
                <c:pt idx="129">
                  <c:v>44103</c:v>
                </c:pt>
                <c:pt idx="130">
                  <c:v>44102</c:v>
                </c:pt>
                <c:pt idx="131">
                  <c:v>44101</c:v>
                </c:pt>
                <c:pt idx="132">
                  <c:v>44100</c:v>
                </c:pt>
                <c:pt idx="133">
                  <c:v>44099</c:v>
                </c:pt>
                <c:pt idx="134">
                  <c:v>44098</c:v>
                </c:pt>
                <c:pt idx="135">
                  <c:v>44097</c:v>
                </c:pt>
                <c:pt idx="136">
                  <c:v>44096</c:v>
                </c:pt>
                <c:pt idx="137">
                  <c:v>44095</c:v>
                </c:pt>
                <c:pt idx="138">
                  <c:v>44094</c:v>
                </c:pt>
                <c:pt idx="139">
                  <c:v>44093</c:v>
                </c:pt>
                <c:pt idx="140">
                  <c:v>44092</c:v>
                </c:pt>
                <c:pt idx="141">
                  <c:v>44091</c:v>
                </c:pt>
                <c:pt idx="142">
                  <c:v>44090</c:v>
                </c:pt>
                <c:pt idx="143">
                  <c:v>44089</c:v>
                </c:pt>
                <c:pt idx="144">
                  <c:v>44088</c:v>
                </c:pt>
                <c:pt idx="145">
                  <c:v>44087</c:v>
                </c:pt>
                <c:pt idx="146">
                  <c:v>44086</c:v>
                </c:pt>
                <c:pt idx="147">
                  <c:v>44085</c:v>
                </c:pt>
                <c:pt idx="148">
                  <c:v>44084</c:v>
                </c:pt>
                <c:pt idx="149">
                  <c:v>44083</c:v>
                </c:pt>
                <c:pt idx="150">
                  <c:v>44082</c:v>
                </c:pt>
                <c:pt idx="151">
                  <c:v>44081</c:v>
                </c:pt>
                <c:pt idx="152">
                  <c:v>44080</c:v>
                </c:pt>
                <c:pt idx="153">
                  <c:v>44079</c:v>
                </c:pt>
                <c:pt idx="154">
                  <c:v>44078</c:v>
                </c:pt>
                <c:pt idx="155">
                  <c:v>44077</c:v>
                </c:pt>
                <c:pt idx="156">
                  <c:v>44076</c:v>
                </c:pt>
                <c:pt idx="157">
                  <c:v>44075</c:v>
                </c:pt>
                <c:pt idx="158">
                  <c:v>44074</c:v>
                </c:pt>
                <c:pt idx="159">
                  <c:v>44073</c:v>
                </c:pt>
                <c:pt idx="160">
                  <c:v>44072</c:v>
                </c:pt>
                <c:pt idx="161">
                  <c:v>44071</c:v>
                </c:pt>
                <c:pt idx="162">
                  <c:v>44070</c:v>
                </c:pt>
                <c:pt idx="163">
                  <c:v>44069</c:v>
                </c:pt>
                <c:pt idx="164">
                  <c:v>44068</c:v>
                </c:pt>
                <c:pt idx="165">
                  <c:v>44067</c:v>
                </c:pt>
                <c:pt idx="166">
                  <c:v>44066</c:v>
                </c:pt>
                <c:pt idx="167">
                  <c:v>44065</c:v>
                </c:pt>
                <c:pt idx="168">
                  <c:v>44064</c:v>
                </c:pt>
                <c:pt idx="169">
                  <c:v>44063</c:v>
                </c:pt>
                <c:pt idx="170">
                  <c:v>44062</c:v>
                </c:pt>
                <c:pt idx="171">
                  <c:v>44061</c:v>
                </c:pt>
                <c:pt idx="172">
                  <c:v>44060</c:v>
                </c:pt>
                <c:pt idx="173">
                  <c:v>44059</c:v>
                </c:pt>
                <c:pt idx="174">
                  <c:v>44058</c:v>
                </c:pt>
                <c:pt idx="175">
                  <c:v>44057</c:v>
                </c:pt>
                <c:pt idx="176">
                  <c:v>44056</c:v>
                </c:pt>
                <c:pt idx="177">
                  <c:v>44055</c:v>
                </c:pt>
                <c:pt idx="178">
                  <c:v>44054</c:v>
                </c:pt>
                <c:pt idx="179">
                  <c:v>44053</c:v>
                </c:pt>
                <c:pt idx="180">
                  <c:v>44052</c:v>
                </c:pt>
                <c:pt idx="181">
                  <c:v>44051</c:v>
                </c:pt>
                <c:pt idx="182">
                  <c:v>44050</c:v>
                </c:pt>
                <c:pt idx="183">
                  <c:v>44049</c:v>
                </c:pt>
                <c:pt idx="184">
                  <c:v>44048</c:v>
                </c:pt>
                <c:pt idx="185">
                  <c:v>44047</c:v>
                </c:pt>
                <c:pt idx="186">
                  <c:v>44046</c:v>
                </c:pt>
                <c:pt idx="187">
                  <c:v>44045</c:v>
                </c:pt>
                <c:pt idx="188">
                  <c:v>44044</c:v>
                </c:pt>
                <c:pt idx="189">
                  <c:v>44043</c:v>
                </c:pt>
                <c:pt idx="190">
                  <c:v>44042</c:v>
                </c:pt>
                <c:pt idx="191">
                  <c:v>44041</c:v>
                </c:pt>
                <c:pt idx="192">
                  <c:v>44040</c:v>
                </c:pt>
                <c:pt idx="193">
                  <c:v>44039</c:v>
                </c:pt>
                <c:pt idx="194">
                  <c:v>44038</c:v>
                </c:pt>
                <c:pt idx="195">
                  <c:v>44037</c:v>
                </c:pt>
                <c:pt idx="196">
                  <c:v>44036</c:v>
                </c:pt>
                <c:pt idx="197">
                  <c:v>44035</c:v>
                </c:pt>
                <c:pt idx="198">
                  <c:v>44034</c:v>
                </c:pt>
                <c:pt idx="199">
                  <c:v>44033</c:v>
                </c:pt>
                <c:pt idx="200">
                  <c:v>44032</c:v>
                </c:pt>
                <c:pt idx="201">
                  <c:v>44031</c:v>
                </c:pt>
                <c:pt idx="202">
                  <c:v>44030</c:v>
                </c:pt>
                <c:pt idx="203">
                  <c:v>44029</c:v>
                </c:pt>
                <c:pt idx="204">
                  <c:v>44028</c:v>
                </c:pt>
                <c:pt idx="205">
                  <c:v>44027</c:v>
                </c:pt>
                <c:pt idx="206">
                  <c:v>44026</c:v>
                </c:pt>
                <c:pt idx="207">
                  <c:v>44025</c:v>
                </c:pt>
                <c:pt idx="208">
                  <c:v>44024</c:v>
                </c:pt>
                <c:pt idx="209">
                  <c:v>44023</c:v>
                </c:pt>
                <c:pt idx="210">
                  <c:v>44022</c:v>
                </c:pt>
                <c:pt idx="211">
                  <c:v>44021</c:v>
                </c:pt>
                <c:pt idx="212">
                  <c:v>44020</c:v>
                </c:pt>
                <c:pt idx="213">
                  <c:v>44019</c:v>
                </c:pt>
                <c:pt idx="214">
                  <c:v>44018</c:v>
                </c:pt>
                <c:pt idx="215">
                  <c:v>44017</c:v>
                </c:pt>
                <c:pt idx="216">
                  <c:v>44016</c:v>
                </c:pt>
                <c:pt idx="217">
                  <c:v>44015</c:v>
                </c:pt>
                <c:pt idx="218">
                  <c:v>44014</c:v>
                </c:pt>
                <c:pt idx="219">
                  <c:v>44013</c:v>
                </c:pt>
                <c:pt idx="220">
                  <c:v>44012</c:v>
                </c:pt>
                <c:pt idx="221">
                  <c:v>44011</c:v>
                </c:pt>
                <c:pt idx="222">
                  <c:v>44010</c:v>
                </c:pt>
                <c:pt idx="223">
                  <c:v>44009</c:v>
                </c:pt>
                <c:pt idx="224">
                  <c:v>44008</c:v>
                </c:pt>
                <c:pt idx="225">
                  <c:v>44007</c:v>
                </c:pt>
                <c:pt idx="226">
                  <c:v>44006</c:v>
                </c:pt>
                <c:pt idx="227">
                  <c:v>44005</c:v>
                </c:pt>
                <c:pt idx="228">
                  <c:v>44004</c:v>
                </c:pt>
                <c:pt idx="229">
                  <c:v>44003</c:v>
                </c:pt>
                <c:pt idx="230">
                  <c:v>44002</c:v>
                </c:pt>
                <c:pt idx="231">
                  <c:v>44001</c:v>
                </c:pt>
                <c:pt idx="232">
                  <c:v>44000</c:v>
                </c:pt>
                <c:pt idx="233">
                  <c:v>43999</c:v>
                </c:pt>
                <c:pt idx="234">
                  <c:v>43998</c:v>
                </c:pt>
                <c:pt idx="235">
                  <c:v>43997</c:v>
                </c:pt>
                <c:pt idx="236">
                  <c:v>43996</c:v>
                </c:pt>
                <c:pt idx="237">
                  <c:v>43995</c:v>
                </c:pt>
                <c:pt idx="238">
                  <c:v>43994</c:v>
                </c:pt>
                <c:pt idx="239">
                  <c:v>43993</c:v>
                </c:pt>
                <c:pt idx="240">
                  <c:v>43992</c:v>
                </c:pt>
                <c:pt idx="241">
                  <c:v>43991</c:v>
                </c:pt>
                <c:pt idx="242">
                  <c:v>43990</c:v>
                </c:pt>
                <c:pt idx="243">
                  <c:v>43989</c:v>
                </c:pt>
                <c:pt idx="244">
                  <c:v>43988</c:v>
                </c:pt>
                <c:pt idx="245">
                  <c:v>43987</c:v>
                </c:pt>
                <c:pt idx="246">
                  <c:v>43986</c:v>
                </c:pt>
                <c:pt idx="247">
                  <c:v>43985</c:v>
                </c:pt>
                <c:pt idx="248">
                  <c:v>43984</c:v>
                </c:pt>
                <c:pt idx="249">
                  <c:v>43983</c:v>
                </c:pt>
                <c:pt idx="250">
                  <c:v>43982</c:v>
                </c:pt>
                <c:pt idx="251">
                  <c:v>43981</c:v>
                </c:pt>
                <c:pt idx="252">
                  <c:v>43980</c:v>
                </c:pt>
                <c:pt idx="253">
                  <c:v>43979</c:v>
                </c:pt>
                <c:pt idx="254">
                  <c:v>43978</c:v>
                </c:pt>
                <c:pt idx="255">
                  <c:v>43977</c:v>
                </c:pt>
                <c:pt idx="256">
                  <c:v>43976</c:v>
                </c:pt>
                <c:pt idx="257">
                  <c:v>43975</c:v>
                </c:pt>
                <c:pt idx="258">
                  <c:v>43974</c:v>
                </c:pt>
                <c:pt idx="259">
                  <c:v>43973</c:v>
                </c:pt>
                <c:pt idx="260">
                  <c:v>43972</c:v>
                </c:pt>
                <c:pt idx="261">
                  <c:v>43971</c:v>
                </c:pt>
                <c:pt idx="262">
                  <c:v>43970</c:v>
                </c:pt>
                <c:pt idx="263">
                  <c:v>43969</c:v>
                </c:pt>
                <c:pt idx="264">
                  <c:v>43968</c:v>
                </c:pt>
                <c:pt idx="265">
                  <c:v>43967</c:v>
                </c:pt>
                <c:pt idx="266">
                  <c:v>43966</c:v>
                </c:pt>
                <c:pt idx="267">
                  <c:v>43965</c:v>
                </c:pt>
                <c:pt idx="268">
                  <c:v>43964</c:v>
                </c:pt>
                <c:pt idx="269">
                  <c:v>43963</c:v>
                </c:pt>
                <c:pt idx="270">
                  <c:v>43962</c:v>
                </c:pt>
                <c:pt idx="271">
                  <c:v>43961</c:v>
                </c:pt>
                <c:pt idx="272">
                  <c:v>43960</c:v>
                </c:pt>
                <c:pt idx="273">
                  <c:v>43959</c:v>
                </c:pt>
                <c:pt idx="274">
                  <c:v>43958</c:v>
                </c:pt>
                <c:pt idx="275">
                  <c:v>43957</c:v>
                </c:pt>
                <c:pt idx="276">
                  <c:v>43956</c:v>
                </c:pt>
                <c:pt idx="277">
                  <c:v>43955</c:v>
                </c:pt>
                <c:pt idx="278">
                  <c:v>43954</c:v>
                </c:pt>
                <c:pt idx="279">
                  <c:v>43953</c:v>
                </c:pt>
                <c:pt idx="280">
                  <c:v>43952</c:v>
                </c:pt>
                <c:pt idx="281">
                  <c:v>43951</c:v>
                </c:pt>
                <c:pt idx="282">
                  <c:v>43950</c:v>
                </c:pt>
                <c:pt idx="283">
                  <c:v>43949</c:v>
                </c:pt>
                <c:pt idx="284">
                  <c:v>43948</c:v>
                </c:pt>
                <c:pt idx="285">
                  <c:v>43947</c:v>
                </c:pt>
              </c:numCache>
            </c:numRef>
          </c:cat>
          <c:val>
            <c:numRef>
              <c:f>A!$AC$11:$AC$296</c:f>
              <c:numCache>
                <c:formatCode>#,##0</c:formatCode>
                <c:ptCount val="286"/>
                <c:pt idx="0">
                  <c:v>178994.96412586753</c:v>
                </c:pt>
                <c:pt idx="1">
                  <c:v>177296.99345382882</c:v>
                </c:pt>
                <c:pt idx="2">
                  <c:v>175846.09973956406</c:v>
                </c:pt>
                <c:pt idx="3">
                  <c:v>174713.26549960088</c:v>
                </c:pt>
                <c:pt idx="4">
                  <c:v>173328.69901669738</c:v>
                </c:pt>
                <c:pt idx="5">
                  <c:v>172032.61264322104</c:v>
                </c:pt>
                <c:pt idx="6">
                  <c:v>170529.45138329745</c:v>
                </c:pt>
                <c:pt idx="7">
                  <c:v>167915.46592886068</c:v>
                </c:pt>
                <c:pt idx="8">
                  <c:v>167054.22202016893</c:v>
                </c:pt>
                <c:pt idx="9">
                  <c:v>166020.32979871094</c:v>
                </c:pt>
                <c:pt idx="10">
                  <c:v>163692.35126829272</c:v>
                </c:pt>
                <c:pt idx="11">
                  <c:v>161845.86283126104</c:v>
                </c:pt>
                <c:pt idx="12">
                  <c:v>160395.9069239737</c:v>
                </c:pt>
                <c:pt idx="13">
                  <c:v>158909.39750291276</c:v>
                </c:pt>
                <c:pt idx="14">
                  <c:v>158431.47906842263</c:v>
                </c:pt>
                <c:pt idx="15">
                  <c:v>158144.73874921497</c:v>
                </c:pt>
                <c:pt idx="16">
                  <c:v>159060.51528045759</c:v>
                </c:pt>
                <c:pt idx="17">
                  <c:v>160176.19496745034</c:v>
                </c:pt>
                <c:pt idx="18">
                  <c:v>160207.6420623931</c:v>
                </c:pt>
                <c:pt idx="19">
                  <c:v>160073.79965668896</c:v>
                </c:pt>
                <c:pt idx="20">
                  <c:v>161078.11900329529</c:v>
                </c:pt>
                <c:pt idx="21">
                  <c:v>163005.88462506313</c:v>
                </c:pt>
                <c:pt idx="22">
                  <c:v>166433.79990417013</c:v>
                </c:pt>
                <c:pt idx="23">
                  <c:v>171047.56517356794</c:v>
                </c:pt>
                <c:pt idx="24">
                  <c:v>175684.81317480118</c:v>
                </c:pt>
                <c:pt idx="25">
                  <c:v>181537.68996941388</c:v>
                </c:pt>
                <c:pt idx="26">
                  <c:v>187872.0549716246</c:v>
                </c:pt>
                <c:pt idx="27">
                  <c:v>192765.56716378653</c:v>
                </c:pt>
                <c:pt idx="28">
                  <c:v>195077.88236052738</c:v>
                </c:pt>
                <c:pt idx="29">
                  <c:v>193289.66404399072</c:v>
                </c:pt>
                <c:pt idx="30">
                  <c:v>190321.15841542985</c:v>
                </c:pt>
                <c:pt idx="31">
                  <c:v>186355.75754680581</c:v>
                </c:pt>
                <c:pt idx="32">
                  <c:v>180408.23759170822</c:v>
                </c:pt>
                <c:pt idx="33">
                  <c:v>172817.36865477671</c:v>
                </c:pt>
                <c:pt idx="34">
                  <c:v>165393.26526332129</c:v>
                </c:pt>
                <c:pt idx="35">
                  <c:v>159384.41211242339</c:v>
                </c:pt>
                <c:pt idx="36">
                  <c:v>153826.62742650343</c:v>
                </c:pt>
                <c:pt idx="37">
                  <c:v>147912.94872350001</c:v>
                </c:pt>
                <c:pt idx="38">
                  <c:v>140464.23350361254</c:v>
                </c:pt>
                <c:pt idx="39">
                  <c:v>132745.05858071276</c:v>
                </c:pt>
                <c:pt idx="40">
                  <c:v>126347.60483040033</c:v>
                </c:pt>
                <c:pt idx="41">
                  <c:v>119125.16218460107</c:v>
                </c:pt>
                <c:pt idx="42">
                  <c:v>112612.93810741061</c:v>
                </c:pt>
                <c:pt idx="43">
                  <c:v>111018.48716215616</c:v>
                </c:pt>
                <c:pt idx="44">
                  <c:v>110770.35404733145</c:v>
                </c:pt>
                <c:pt idx="45">
                  <c:v>111395.30561407063</c:v>
                </c:pt>
                <c:pt idx="46">
                  <c:v>111770.97414526659</c:v>
                </c:pt>
                <c:pt idx="47">
                  <c:v>111295.60541558941</c:v>
                </c:pt>
                <c:pt idx="48">
                  <c:v>110754.7897991814</c:v>
                </c:pt>
                <c:pt idx="49">
                  <c:v>110583.34071473707</c:v>
                </c:pt>
                <c:pt idx="50">
                  <c:v>109771.30558340512</c:v>
                </c:pt>
                <c:pt idx="51">
                  <c:v>108192.64375550018</c:v>
                </c:pt>
                <c:pt idx="52">
                  <c:v>105798.5920884153</c:v>
                </c:pt>
                <c:pt idx="53">
                  <c:v>103232.23692807094</c:v>
                </c:pt>
                <c:pt idx="54">
                  <c:v>100360.89844375788</c:v>
                </c:pt>
                <c:pt idx="55">
                  <c:v>97624.09141870412</c:v>
                </c:pt>
                <c:pt idx="56">
                  <c:v>94588.092116697066</c:v>
                </c:pt>
                <c:pt idx="57">
                  <c:v>91202.145216279343</c:v>
                </c:pt>
                <c:pt idx="58">
                  <c:v>87776.802123986679</c:v>
                </c:pt>
                <c:pt idx="59">
                  <c:v>84427.85302194237</c:v>
                </c:pt>
                <c:pt idx="60">
                  <c:v>79344.695101245889</c:v>
                </c:pt>
                <c:pt idx="61">
                  <c:v>75528.806362438321</c:v>
                </c:pt>
                <c:pt idx="62">
                  <c:v>72489.721641454351</c:v>
                </c:pt>
                <c:pt idx="63">
                  <c:v>69545.943004514018</c:v>
                </c:pt>
                <c:pt idx="64">
                  <c:v>66812.477996568399</c:v>
                </c:pt>
                <c:pt idx="65">
                  <c:v>64181.303181234194</c:v>
                </c:pt>
                <c:pt idx="66">
                  <c:v>61312.994071954607</c:v>
                </c:pt>
                <c:pt idx="67">
                  <c:v>59426.437433894222</c:v>
                </c:pt>
                <c:pt idx="68">
                  <c:v>56925.613401030991</c:v>
                </c:pt>
                <c:pt idx="69">
                  <c:v>54722.411750357547</c:v>
                </c:pt>
                <c:pt idx="70">
                  <c:v>51981.30588235132</c:v>
                </c:pt>
                <c:pt idx="71">
                  <c:v>49906.412415084247</c:v>
                </c:pt>
                <c:pt idx="72">
                  <c:v>48569.002586978619</c:v>
                </c:pt>
                <c:pt idx="73">
                  <c:v>48177.447942425264</c:v>
                </c:pt>
                <c:pt idx="74">
                  <c:v>47531.120414354504</c:v>
                </c:pt>
                <c:pt idx="75">
                  <c:v>46708.795567747562</c:v>
                </c:pt>
                <c:pt idx="76">
                  <c:v>46038.841165079088</c:v>
                </c:pt>
                <c:pt idx="77">
                  <c:v>46085.41541622908</c:v>
                </c:pt>
                <c:pt idx="78">
                  <c:v>46419.341755218113</c:v>
                </c:pt>
                <c:pt idx="79">
                  <c:v>45921.367733453524</c:v>
                </c:pt>
                <c:pt idx="80">
                  <c:v>45372.370727938782</c:v>
                </c:pt>
                <c:pt idx="81">
                  <c:v>44875.700270963403</c:v>
                </c:pt>
                <c:pt idx="82">
                  <c:v>45444.83675388417</c:v>
                </c:pt>
                <c:pt idx="83">
                  <c:v>46159.078476388284</c:v>
                </c:pt>
                <c:pt idx="84">
                  <c:v>47009.821124168986</c:v>
                </c:pt>
                <c:pt idx="85">
                  <c:v>47618.197748734689</c:v>
                </c:pt>
                <c:pt idx="86">
                  <c:v>48691.009998865789</c:v>
                </c:pt>
                <c:pt idx="87">
                  <c:v>49152.670152223713</c:v>
                </c:pt>
                <c:pt idx="88">
                  <c:v>48520.353964731541</c:v>
                </c:pt>
                <c:pt idx="89">
                  <c:v>46927.700457943414</c:v>
                </c:pt>
                <c:pt idx="90">
                  <c:v>44447.147633738496</c:v>
                </c:pt>
                <c:pt idx="91">
                  <c:v>41375.155565700079</c:v>
                </c:pt>
                <c:pt idx="92">
                  <c:v>38069.185656980771</c:v>
                </c:pt>
                <c:pt idx="93">
                  <c:v>34356.151086097583</c:v>
                </c:pt>
                <c:pt idx="94">
                  <c:v>30410.847217843202</c:v>
                </c:pt>
                <c:pt idx="95">
                  <c:v>27490.46642428491</c:v>
                </c:pt>
                <c:pt idx="96">
                  <c:v>24995.452691154573</c:v>
                </c:pt>
                <c:pt idx="97">
                  <c:v>24249.131829460628</c:v>
                </c:pt>
                <c:pt idx="98">
                  <c:v>23700.084083085218</c:v>
                </c:pt>
                <c:pt idx="99">
                  <c:v>23075.514030503356</c:v>
                </c:pt>
                <c:pt idx="100">
                  <c:v>22395.584341688023</c:v>
                </c:pt>
                <c:pt idx="101">
                  <c:v>21858.166919557771</c:v>
                </c:pt>
                <c:pt idx="102">
                  <c:v>20862.098974385121</c:v>
                </c:pt>
                <c:pt idx="103">
                  <c:v>20471.610960394257</c:v>
                </c:pt>
                <c:pt idx="104">
                  <c:v>19361.895820305621</c:v>
                </c:pt>
                <c:pt idx="105">
                  <c:v>18308.44724085875</c:v>
                </c:pt>
                <c:pt idx="106">
                  <c:v>17021.918899081091</c:v>
                </c:pt>
                <c:pt idx="107">
                  <c:v>16211.604577813112</c:v>
                </c:pt>
                <c:pt idx="108">
                  <c:v>15338.766461793546</c:v>
                </c:pt>
                <c:pt idx="109">
                  <c:v>15376.205012906667</c:v>
                </c:pt>
                <c:pt idx="110">
                  <c:v>15086.314486310268</c:v>
                </c:pt>
                <c:pt idx="111">
                  <c:v>15273.257882299138</c:v>
                </c:pt>
                <c:pt idx="112">
                  <c:v>15625.037754116456</c:v>
                </c:pt>
                <c:pt idx="113">
                  <c:v>15932.505230944424</c:v>
                </c:pt>
                <c:pt idx="114">
                  <c:v>16115.962567003638</c:v>
                </c:pt>
                <c:pt idx="115">
                  <c:v>16599.195067191962</c:v>
                </c:pt>
                <c:pt idx="116">
                  <c:v>16020.979838205129</c:v>
                </c:pt>
                <c:pt idx="117">
                  <c:v>15598.591130209761</c:v>
                </c:pt>
                <c:pt idx="118">
                  <c:v>15412.160726974327</c:v>
                </c:pt>
                <c:pt idx="119">
                  <c:v>14658.698196720103</c:v>
                </c:pt>
                <c:pt idx="120">
                  <c:v>13833.773346908076</c:v>
                </c:pt>
                <c:pt idx="121">
                  <c:v>12930.603667595356</c:v>
                </c:pt>
                <c:pt idx="122">
                  <c:v>12075.379557533532</c:v>
                </c:pt>
                <c:pt idx="123">
                  <c:v>11205.602163669262</c:v>
                </c:pt>
                <c:pt idx="124">
                  <c:v>10312.480175825114</c:v>
                </c:pt>
                <c:pt idx="125">
                  <c:v>9337.3215700608125</c:v>
                </c:pt>
                <c:pt idx="126">
                  <c:v>8590.6001282524521</c:v>
                </c:pt>
                <c:pt idx="127">
                  <c:v>8051.1513973649671</c:v>
                </c:pt>
                <c:pt idx="128">
                  <c:v>7571.7565684203582</c:v>
                </c:pt>
                <c:pt idx="129">
                  <c:v>7060.1509922967871</c:v>
                </c:pt>
                <c:pt idx="130">
                  <c:v>6386.2386689761506</c:v>
                </c:pt>
                <c:pt idx="131">
                  <c:v>5492.7291452252766</c:v>
                </c:pt>
                <c:pt idx="132">
                  <c:v>4721.727131724816</c:v>
                </c:pt>
                <c:pt idx="133">
                  <c:v>4233.0125591849564</c:v>
                </c:pt>
                <c:pt idx="134">
                  <c:v>3803.7384151217298</c:v>
                </c:pt>
                <c:pt idx="135">
                  <c:v>3360.3440530394096</c:v>
                </c:pt>
                <c:pt idx="136">
                  <c:v>2955.6736381350806</c:v>
                </c:pt>
                <c:pt idx="137">
                  <c:v>2866.0998770792294</c:v>
                </c:pt>
                <c:pt idx="138">
                  <c:v>2899.7840410037775</c:v>
                </c:pt>
                <c:pt idx="139">
                  <c:v>3066.5591256824009</c:v>
                </c:pt>
                <c:pt idx="140">
                  <c:v>3204.7277086873228</c:v>
                </c:pt>
                <c:pt idx="141">
                  <c:v>3280.8530616790267</c:v>
                </c:pt>
                <c:pt idx="142">
                  <c:v>3642.4776130819318</c:v>
                </c:pt>
                <c:pt idx="143">
                  <c:v>3934.6400671598717</c:v>
                </c:pt>
                <c:pt idx="144">
                  <c:v>4058.2468822387168</c:v>
                </c:pt>
                <c:pt idx="145">
                  <c:v>4100.8728743994143</c:v>
                </c:pt>
                <c:pt idx="146">
                  <c:v>4223.8891537192758</c:v>
                </c:pt>
                <c:pt idx="147">
                  <c:v>4409.7058622948998</c:v>
                </c:pt>
                <c:pt idx="148">
                  <c:v>4553.8777039154802</c:v>
                </c:pt>
                <c:pt idx="149">
                  <c:v>4447.2958794676488</c:v>
                </c:pt>
                <c:pt idx="150">
                  <c:v>4424.386011663446</c:v>
                </c:pt>
                <c:pt idx="151">
                  <c:v>4440.8332914726643</c:v>
                </c:pt>
                <c:pt idx="152">
                  <c:v>4604.0297099219197</c:v>
                </c:pt>
                <c:pt idx="153">
                  <c:v>4865.1563076756565</c:v>
                </c:pt>
                <c:pt idx="154">
                  <c:v>4892.4525249810531</c:v>
                </c:pt>
                <c:pt idx="155">
                  <c:v>4955.8507566091721</c:v>
                </c:pt>
                <c:pt idx="156">
                  <c:v>5140.165398484357</c:v>
                </c:pt>
                <c:pt idx="157">
                  <c:v>5133.8773088733979</c:v>
                </c:pt>
                <c:pt idx="158">
                  <c:v>5021.1942635567284</c:v>
                </c:pt>
                <c:pt idx="159">
                  <c:v>5122.672591980092</c:v>
                </c:pt>
                <c:pt idx="160">
                  <c:v>5173.6121160160947</c:v>
                </c:pt>
                <c:pt idx="161">
                  <c:v>5404.8278995537812</c:v>
                </c:pt>
                <c:pt idx="162">
                  <c:v>5760.4902310793368</c:v>
                </c:pt>
                <c:pt idx="163">
                  <c:v>5994.4567758121866</c:v>
                </c:pt>
                <c:pt idx="164">
                  <c:v>6496.0516855149135</c:v>
                </c:pt>
                <c:pt idx="165">
                  <c:v>7114.9996819432763</c:v>
                </c:pt>
                <c:pt idx="166">
                  <c:v>7426.2246988546594</c:v>
                </c:pt>
                <c:pt idx="167">
                  <c:v>7973.7563894686682</c:v>
                </c:pt>
                <c:pt idx="168">
                  <c:v>8495.3184031602559</c:v>
                </c:pt>
                <c:pt idx="169">
                  <c:v>8953.273072287835</c:v>
                </c:pt>
                <c:pt idx="170">
                  <c:v>9454.6878279216162</c:v>
                </c:pt>
                <c:pt idx="171">
                  <c:v>10021.701309042082</c:v>
                </c:pt>
                <c:pt idx="172">
                  <c:v>10660.615744900035</c:v>
                </c:pt>
                <c:pt idx="173">
                  <c:v>11168.15043200171</c:v>
                </c:pt>
                <c:pt idx="174">
                  <c:v>11793.996381204652</c:v>
                </c:pt>
                <c:pt idx="175">
                  <c:v>12284.399976800891</c:v>
                </c:pt>
                <c:pt idx="176">
                  <c:v>12737.764716037895</c:v>
                </c:pt>
                <c:pt idx="177">
                  <c:v>13382.565703107271</c:v>
                </c:pt>
                <c:pt idx="178">
                  <c:v>14136.339445956608</c:v>
                </c:pt>
                <c:pt idx="179">
                  <c:v>14350.283225791582</c:v>
                </c:pt>
                <c:pt idx="180">
                  <c:v>15210.848391751844</c:v>
                </c:pt>
                <c:pt idx="181">
                  <c:v>16001.709336593562</c:v>
                </c:pt>
                <c:pt idx="182">
                  <c:v>16700.770681509919</c:v>
                </c:pt>
                <c:pt idx="183">
                  <c:v>17538.968519721173</c:v>
                </c:pt>
                <c:pt idx="184">
                  <c:v>18346.531743062336</c:v>
                </c:pt>
                <c:pt idx="185">
                  <c:v>19096.776180971065</c:v>
                </c:pt>
                <c:pt idx="186">
                  <c:v>19971.837203155173</c:v>
                </c:pt>
                <c:pt idx="187">
                  <c:v>20018.995125538386</c:v>
                </c:pt>
                <c:pt idx="188">
                  <c:v>19731.444026529549</c:v>
                </c:pt>
                <c:pt idx="189">
                  <c:v>19591.313446738124</c:v>
                </c:pt>
                <c:pt idx="190">
                  <c:v>19451.26557783844</c:v>
                </c:pt>
                <c:pt idx="191">
                  <c:v>19316.06309641973</c:v>
                </c:pt>
                <c:pt idx="192">
                  <c:v>19564.4560537123</c:v>
                </c:pt>
                <c:pt idx="193">
                  <c:v>19743.624884696022</c:v>
                </c:pt>
                <c:pt idx="194">
                  <c:v>19925.10731134253</c:v>
                </c:pt>
                <c:pt idx="195">
                  <c:v>20440.571509562822</c:v>
                </c:pt>
                <c:pt idx="196">
                  <c:v>20615.89171146051</c:v>
                </c:pt>
                <c:pt idx="197">
                  <c:v>20949.406485873627</c:v>
                </c:pt>
                <c:pt idx="198">
                  <c:v>21218.346492856053</c:v>
                </c:pt>
                <c:pt idx="199">
                  <c:v>21331.598665974288</c:v>
                </c:pt>
                <c:pt idx="200">
                  <c:v>21494.880263103176</c:v>
                </c:pt>
                <c:pt idx="201">
                  <c:v>21205.664945782995</c:v>
                </c:pt>
                <c:pt idx="202">
                  <c:v>20801.285932482861</c:v>
                </c:pt>
                <c:pt idx="203">
                  <c:v>21119.383681022002</c:v>
                </c:pt>
                <c:pt idx="204">
                  <c:v>21429.055497443445</c:v>
                </c:pt>
                <c:pt idx="205">
                  <c:v>21437.414264230341</c:v>
                </c:pt>
                <c:pt idx="206">
                  <c:v>22098.524004439103</c:v>
                </c:pt>
                <c:pt idx="207">
                  <c:v>22359.325515859156</c:v>
                </c:pt>
                <c:pt idx="208">
                  <c:v>22654.899261722323</c:v>
                </c:pt>
                <c:pt idx="209">
                  <c:v>23021.970840271344</c:v>
                </c:pt>
                <c:pt idx="210">
                  <c:v>23459.421147709683</c:v>
                </c:pt>
                <c:pt idx="211">
                  <c:v>23919.570243131737</c:v>
                </c:pt>
                <c:pt idx="212">
                  <c:v>24556.345598027892</c:v>
                </c:pt>
                <c:pt idx="213">
                  <c:v>24997.991745709463</c:v>
                </c:pt>
                <c:pt idx="214">
                  <c:v>25420.496857863403</c:v>
                </c:pt>
                <c:pt idx="215">
                  <c:v>25402.481778144549</c:v>
                </c:pt>
                <c:pt idx="216">
                  <c:v>26140.205408138019</c:v>
                </c:pt>
                <c:pt idx="217">
                  <c:v>26474.316989640458</c:v>
                </c:pt>
                <c:pt idx="218">
                  <c:v>26684.399409830334</c:v>
                </c:pt>
                <c:pt idx="219">
                  <c:v>27135.90283935994</c:v>
                </c:pt>
                <c:pt idx="220">
                  <c:v>27346.008025170893</c:v>
                </c:pt>
                <c:pt idx="221">
                  <c:v>27466.40225080842</c:v>
                </c:pt>
                <c:pt idx="222">
                  <c:v>27930.281752143903</c:v>
                </c:pt>
                <c:pt idx="223">
                  <c:v>28420.71091556942</c:v>
                </c:pt>
                <c:pt idx="224">
                  <c:v>28904.256160274643</c:v>
                </c:pt>
                <c:pt idx="225">
                  <c:v>29801.731502962019</c:v>
                </c:pt>
                <c:pt idx="226">
                  <c:v>31120.605287050617</c:v>
                </c:pt>
                <c:pt idx="227">
                  <c:v>32982.811991480492</c:v>
                </c:pt>
                <c:pt idx="228">
                  <c:v>34571.065222450372</c:v>
                </c:pt>
                <c:pt idx="229">
                  <c:v>36139.425538721618</c:v>
                </c:pt>
                <c:pt idx="230">
                  <c:v>37028.057180602387</c:v>
                </c:pt>
                <c:pt idx="231">
                  <c:v>37961.855475964207</c:v>
                </c:pt>
                <c:pt idx="232">
                  <c:v>39064.08112153913</c:v>
                </c:pt>
                <c:pt idx="233">
                  <c:v>39694.596523485539</c:v>
                </c:pt>
                <c:pt idx="234">
                  <c:v>40268.559593659375</c:v>
                </c:pt>
                <c:pt idx="235">
                  <c:v>41098.968056639642</c:v>
                </c:pt>
                <c:pt idx="236">
                  <c:v>41616.251190820803</c:v>
                </c:pt>
                <c:pt idx="237">
                  <c:v>42995.366342975547</c:v>
                </c:pt>
                <c:pt idx="238">
                  <c:v>44705.744939743447</c:v>
                </c:pt>
                <c:pt idx="239">
                  <c:v>46467.019698421376</c:v>
                </c:pt>
                <c:pt idx="240">
                  <c:v>48544.731639280908</c:v>
                </c:pt>
                <c:pt idx="241">
                  <c:v>50441.10342834294</c:v>
                </c:pt>
                <c:pt idx="242">
                  <c:v>52307.559085725457</c:v>
                </c:pt>
                <c:pt idx="243">
                  <c:v>53782.931381132817</c:v>
                </c:pt>
                <c:pt idx="244">
                  <c:v>55241.015875800062</c:v>
                </c:pt>
                <c:pt idx="245">
                  <c:v>56337.145604829027</c:v>
                </c:pt>
                <c:pt idx="246">
                  <c:v>58116.052353899773</c:v>
                </c:pt>
                <c:pt idx="247">
                  <c:v>59684.970937578939</c:v>
                </c:pt>
                <c:pt idx="248">
                  <c:v>61167.719451175166</c:v>
                </c:pt>
                <c:pt idx="249">
                  <c:v>62605.646513483334</c:v>
                </c:pt>
                <c:pt idx="250">
                  <c:v>64940.455621439782</c:v>
                </c:pt>
                <c:pt idx="251">
                  <c:v>67343.327778917228</c:v>
                </c:pt>
                <c:pt idx="252">
                  <c:v>69910.715743129738</c:v>
                </c:pt>
                <c:pt idx="253">
                  <c:v>73220.48585117195</c:v>
                </c:pt>
                <c:pt idx="254">
                  <c:v>76465.025096563986</c:v>
                </c:pt>
                <c:pt idx="255">
                  <c:v>80215.383664212597</c:v>
                </c:pt>
                <c:pt idx="256">
                  <c:v>83416.116388973693</c:v>
                </c:pt>
                <c:pt idx="257">
                  <c:v>85957.490404532902</c:v>
                </c:pt>
                <c:pt idx="258">
                  <c:v>88861.833251482749</c:v>
                </c:pt>
                <c:pt idx="259">
                  <c:v>92080.872626605415</c:v>
                </c:pt>
                <c:pt idx="260">
                  <c:v>96044.031182834966</c:v>
                </c:pt>
                <c:pt idx="261">
                  <c:v>99662.525323789276</c:v>
                </c:pt>
                <c:pt idx="262">
                  <c:v>104924.78648873315</c:v>
                </c:pt>
                <c:pt idx="263">
                  <c:v>109707.2687987903</c:v>
                </c:pt>
                <c:pt idx="264">
                  <c:v>115105.78377955985</c:v>
                </c:pt>
                <c:pt idx="265">
                  <c:v>120022.83854280476</c:v>
                </c:pt>
                <c:pt idx="266">
                  <c:v>125162.4775879752</c:v>
                </c:pt>
                <c:pt idx="267">
                  <c:v>130202.42166129146</c:v>
                </c:pt>
                <c:pt idx="268">
                  <c:v>136627.46714117029</c:v>
                </c:pt>
                <c:pt idx="269">
                  <c:v>141918.68055646794</c:v>
                </c:pt>
                <c:pt idx="270">
                  <c:v>146166.02693311434</c:v>
                </c:pt>
                <c:pt idx="271">
                  <c:v>149964.94425697721</c:v>
                </c:pt>
                <c:pt idx="272">
                  <c:v>153763.23463786481</c:v>
                </c:pt>
                <c:pt idx="273">
                  <c:v>158270.98632221206</c:v>
                </c:pt>
                <c:pt idx="274">
                  <c:v>162553.62667950831</c:v>
                </c:pt>
                <c:pt idx="275">
                  <c:v>166869.64006827227</c:v>
                </c:pt>
                <c:pt idx="276">
                  <c:v>172374.113517433</c:v>
                </c:pt>
                <c:pt idx="277">
                  <c:v>176962.80880161334</c:v>
                </c:pt>
                <c:pt idx="278">
                  <c:v>180170.51695393655</c:v>
                </c:pt>
                <c:pt idx="279">
                  <c:v>185777.90797241853</c:v>
                </c:pt>
                <c:pt idx="280">
                  <c:v>190763.58548429483</c:v>
                </c:pt>
                <c:pt idx="281">
                  <c:v>196810.98344654901</c:v>
                </c:pt>
                <c:pt idx="282">
                  <c:v>202917.67036271701</c:v>
                </c:pt>
                <c:pt idx="283">
                  <c:v>207496.91279073004</c:v>
                </c:pt>
                <c:pt idx="284">
                  <c:v>212137.51695215161</c:v>
                </c:pt>
                <c:pt idx="285">
                  <c:v>216648.75168987445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3C-4F51-9FC3-B807B88ACC2D}"/>
            </c:ext>
          </c:extLst>
        </c:ser>
        <c:ser>
          <c:idx val="1"/>
          <c:order val="1"/>
          <c:tx>
            <c:strRef>
              <c:f>A!$AD$10</c:f>
              <c:strCache>
                <c:ptCount val="1"/>
                <c:pt idx="0">
                  <c:v>RKI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A!$Z$11:$Z$296</c:f>
              <c:numCache>
                <c:formatCode>dd/mm/yy;@</c:formatCode>
                <c:ptCount val="286"/>
                <c:pt idx="0">
                  <c:v>44232</c:v>
                </c:pt>
                <c:pt idx="1">
                  <c:v>44231</c:v>
                </c:pt>
                <c:pt idx="2">
                  <c:v>44230</c:v>
                </c:pt>
                <c:pt idx="3">
                  <c:v>44229</c:v>
                </c:pt>
                <c:pt idx="4">
                  <c:v>44228</c:v>
                </c:pt>
                <c:pt idx="5">
                  <c:v>44227</c:v>
                </c:pt>
                <c:pt idx="6">
                  <c:v>44226</c:v>
                </c:pt>
                <c:pt idx="7">
                  <c:v>44225</c:v>
                </c:pt>
                <c:pt idx="8">
                  <c:v>44224</c:v>
                </c:pt>
                <c:pt idx="9">
                  <c:v>44223</c:v>
                </c:pt>
                <c:pt idx="10">
                  <c:v>44222</c:v>
                </c:pt>
                <c:pt idx="11">
                  <c:v>44221</c:v>
                </c:pt>
                <c:pt idx="12">
                  <c:v>44220</c:v>
                </c:pt>
                <c:pt idx="13">
                  <c:v>44219</c:v>
                </c:pt>
                <c:pt idx="14">
                  <c:v>44218</c:v>
                </c:pt>
                <c:pt idx="15">
                  <c:v>44217</c:v>
                </c:pt>
                <c:pt idx="16">
                  <c:v>44216</c:v>
                </c:pt>
                <c:pt idx="17">
                  <c:v>44215</c:v>
                </c:pt>
                <c:pt idx="18">
                  <c:v>44214</c:v>
                </c:pt>
                <c:pt idx="19">
                  <c:v>44213</c:v>
                </c:pt>
                <c:pt idx="20">
                  <c:v>44212</c:v>
                </c:pt>
                <c:pt idx="21">
                  <c:v>44211</c:v>
                </c:pt>
                <c:pt idx="22">
                  <c:v>44210</c:v>
                </c:pt>
                <c:pt idx="23">
                  <c:v>44209</c:v>
                </c:pt>
                <c:pt idx="24">
                  <c:v>44208</c:v>
                </c:pt>
                <c:pt idx="25">
                  <c:v>44207</c:v>
                </c:pt>
                <c:pt idx="26">
                  <c:v>44206</c:v>
                </c:pt>
                <c:pt idx="27">
                  <c:v>44205</c:v>
                </c:pt>
                <c:pt idx="28">
                  <c:v>44204</c:v>
                </c:pt>
                <c:pt idx="29">
                  <c:v>44203</c:v>
                </c:pt>
                <c:pt idx="30">
                  <c:v>44202</c:v>
                </c:pt>
                <c:pt idx="31">
                  <c:v>44201</c:v>
                </c:pt>
                <c:pt idx="32">
                  <c:v>44200</c:v>
                </c:pt>
                <c:pt idx="33">
                  <c:v>44199</c:v>
                </c:pt>
                <c:pt idx="34">
                  <c:v>44198</c:v>
                </c:pt>
                <c:pt idx="35">
                  <c:v>44197</c:v>
                </c:pt>
                <c:pt idx="36">
                  <c:v>44196</c:v>
                </c:pt>
                <c:pt idx="37">
                  <c:v>44195</c:v>
                </c:pt>
                <c:pt idx="38">
                  <c:v>44194</c:v>
                </c:pt>
                <c:pt idx="39">
                  <c:v>44193</c:v>
                </c:pt>
                <c:pt idx="40">
                  <c:v>44192</c:v>
                </c:pt>
                <c:pt idx="41">
                  <c:v>44191</c:v>
                </c:pt>
                <c:pt idx="42">
                  <c:v>44190</c:v>
                </c:pt>
                <c:pt idx="43">
                  <c:v>44189</c:v>
                </c:pt>
                <c:pt idx="44">
                  <c:v>44188</c:v>
                </c:pt>
                <c:pt idx="45">
                  <c:v>44187</c:v>
                </c:pt>
                <c:pt idx="46">
                  <c:v>44186</c:v>
                </c:pt>
                <c:pt idx="47">
                  <c:v>44185</c:v>
                </c:pt>
                <c:pt idx="48">
                  <c:v>44184</c:v>
                </c:pt>
                <c:pt idx="49">
                  <c:v>44183</c:v>
                </c:pt>
                <c:pt idx="50">
                  <c:v>44182</c:v>
                </c:pt>
                <c:pt idx="51">
                  <c:v>44181</c:v>
                </c:pt>
                <c:pt idx="52">
                  <c:v>44180</c:v>
                </c:pt>
                <c:pt idx="53">
                  <c:v>44179</c:v>
                </c:pt>
                <c:pt idx="54">
                  <c:v>44178</c:v>
                </c:pt>
                <c:pt idx="55">
                  <c:v>44177</c:v>
                </c:pt>
                <c:pt idx="56">
                  <c:v>44176</c:v>
                </c:pt>
                <c:pt idx="57">
                  <c:v>44175</c:v>
                </c:pt>
                <c:pt idx="58">
                  <c:v>44174</c:v>
                </c:pt>
                <c:pt idx="59">
                  <c:v>44173</c:v>
                </c:pt>
                <c:pt idx="60">
                  <c:v>44172</c:v>
                </c:pt>
                <c:pt idx="61">
                  <c:v>44171</c:v>
                </c:pt>
                <c:pt idx="62">
                  <c:v>44170</c:v>
                </c:pt>
                <c:pt idx="63">
                  <c:v>44169</c:v>
                </c:pt>
                <c:pt idx="64">
                  <c:v>44168</c:v>
                </c:pt>
                <c:pt idx="65">
                  <c:v>44167</c:v>
                </c:pt>
                <c:pt idx="66">
                  <c:v>44166</c:v>
                </c:pt>
                <c:pt idx="67">
                  <c:v>44165</c:v>
                </c:pt>
                <c:pt idx="68">
                  <c:v>44164</c:v>
                </c:pt>
                <c:pt idx="69">
                  <c:v>44163</c:v>
                </c:pt>
                <c:pt idx="70">
                  <c:v>44162</c:v>
                </c:pt>
                <c:pt idx="71">
                  <c:v>44161</c:v>
                </c:pt>
                <c:pt idx="72">
                  <c:v>44160</c:v>
                </c:pt>
                <c:pt idx="73">
                  <c:v>44159</c:v>
                </c:pt>
                <c:pt idx="74">
                  <c:v>44158</c:v>
                </c:pt>
                <c:pt idx="75">
                  <c:v>44157</c:v>
                </c:pt>
                <c:pt idx="76">
                  <c:v>44156</c:v>
                </c:pt>
                <c:pt idx="77">
                  <c:v>44155</c:v>
                </c:pt>
                <c:pt idx="78">
                  <c:v>44154</c:v>
                </c:pt>
                <c:pt idx="79">
                  <c:v>44153</c:v>
                </c:pt>
                <c:pt idx="80">
                  <c:v>44152</c:v>
                </c:pt>
                <c:pt idx="81">
                  <c:v>44151</c:v>
                </c:pt>
                <c:pt idx="82">
                  <c:v>44150</c:v>
                </c:pt>
                <c:pt idx="83">
                  <c:v>44149</c:v>
                </c:pt>
                <c:pt idx="84">
                  <c:v>44148</c:v>
                </c:pt>
                <c:pt idx="85">
                  <c:v>44147</c:v>
                </c:pt>
                <c:pt idx="86">
                  <c:v>44146</c:v>
                </c:pt>
                <c:pt idx="87">
                  <c:v>44145</c:v>
                </c:pt>
                <c:pt idx="88">
                  <c:v>44144</c:v>
                </c:pt>
                <c:pt idx="89">
                  <c:v>44143</c:v>
                </c:pt>
                <c:pt idx="90">
                  <c:v>44142</c:v>
                </c:pt>
                <c:pt idx="91">
                  <c:v>44141</c:v>
                </c:pt>
                <c:pt idx="92">
                  <c:v>44140</c:v>
                </c:pt>
                <c:pt idx="93">
                  <c:v>44139</c:v>
                </c:pt>
                <c:pt idx="94">
                  <c:v>44138</c:v>
                </c:pt>
                <c:pt idx="95">
                  <c:v>44137</c:v>
                </c:pt>
                <c:pt idx="96">
                  <c:v>44136</c:v>
                </c:pt>
                <c:pt idx="97">
                  <c:v>44135</c:v>
                </c:pt>
                <c:pt idx="98">
                  <c:v>44134</c:v>
                </c:pt>
                <c:pt idx="99">
                  <c:v>44133</c:v>
                </c:pt>
                <c:pt idx="100">
                  <c:v>44132</c:v>
                </c:pt>
                <c:pt idx="101">
                  <c:v>44131</c:v>
                </c:pt>
                <c:pt idx="102">
                  <c:v>44130</c:v>
                </c:pt>
                <c:pt idx="103">
                  <c:v>44129</c:v>
                </c:pt>
                <c:pt idx="104">
                  <c:v>44128</c:v>
                </c:pt>
                <c:pt idx="105">
                  <c:v>44127</c:v>
                </c:pt>
                <c:pt idx="106">
                  <c:v>44126</c:v>
                </c:pt>
                <c:pt idx="107">
                  <c:v>44125</c:v>
                </c:pt>
                <c:pt idx="108">
                  <c:v>44124</c:v>
                </c:pt>
                <c:pt idx="109">
                  <c:v>44123</c:v>
                </c:pt>
                <c:pt idx="110">
                  <c:v>44122</c:v>
                </c:pt>
                <c:pt idx="111">
                  <c:v>44121</c:v>
                </c:pt>
                <c:pt idx="112">
                  <c:v>44120</c:v>
                </c:pt>
                <c:pt idx="113">
                  <c:v>44119</c:v>
                </c:pt>
                <c:pt idx="114">
                  <c:v>44118</c:v>
                </c:pt>
                <c:pt idx="115">
                  <c:v>44117</c:v>
                </c:pt>
                <c:pt idx="116">
                  <c:v>44116</c:v>
                </c:pt>
                <c:pt idx="117">
                  <c:v>44115</c:v>
                </c:pt>
                <c:pt idx="118">
                  <c:v>44114</c:v>
                </c:pt>
                <c:pt idx="119">
                  <c:v>44113</c:v>
                </c:pt>
                <c:pt idx="120">
                  <c:v>44112</c:v>
                </c:pt>
                <c:pt idx="121">
                  <c:v>44111</c:v>
                </c:pt>
                <c:pt idx="122">
                  <c:v>44110</c:v>
                </c:pt>
                <c:pt idx="123">
                  <c:v>44109</c:v>
                </c:pt>
                <c:pt idx="124">
                  <c:v>44108</c:v>
                </c:pt>
                <c:pt idx="125">
                  <c:v>44107</c:v>
                </c:pt>
                <c:pt idx="126">
                  <c:v>44106</c:v>
                </c:pt>
                <c:pt idx="127">
                  <c:v>44105</c:v>
                </c:pt>
                <c:pt idx="128">
                  <c:v>44104</c:v>
                </c:pt>
                <c:pt idx="129">
                  <c:v>44103</c:v>
                </c:pt>
                <c:pt idx="130">
                  <c:v>44102</c:v>
                </c:pt>
                <c:pt idx="131">
                  <c:v>44101</c:v>
                </c:pt>
                <c:pt idx="132">
                  <c:v>44100</c:v>
                </c:pt>
                <c:pt idx="133">
                  <c:v>44099</c:v>
                </c:pt>
                <c:pt idx="134">
                  <c:v>44098</c:v>
                </c:pt>
                <c:pt idx="135">
                  <c:v>44097</c:v>
                </c:pt>
                <c:pt idx="136">
                  <c:v>44096</c:v>
                </c:pt>
                <c:pt idx="137">
                  <c:v>44095</c:v>
                </c:pt>
                <c:pt idx="138">
                  <c:v>44094</c:v>
                </c:pt>
                <c:pt idx="139">
                  <c:v>44093</c:v>
                </c:pt>
                <c:pt idx="140">
                  <c:v>44092</c:v>
                </c:pt>
                <c:pt idx="141">
                  <c:v>44091</c:v>
                </c:pt>
                <c:pt idx="142">
                  <c:v>44090</c:v>
                </c:pt>
                <c:pt idx="143">
                  <c:v>44089</c:v>
                </c:pt>
                <c:pt idx="144">
                  <c:v>44088</c:v>
                </c:pt>
                <c:pt idx="145">
                  <c:v>44087</c:v>
                </c:pt>
                <c:pt idx="146">
                  <c:v>44086</c:v>
                </c:pt>
                <c:pt idx="147">
                  <c:v>44085</c:v>
                </c:pt>
                <c:pt idx="148">
                  <c:v>44084</c:v>
                </c:pt>
                <c:pt idx="149">
                  <c:v>44083</c:v>
                </c:pt>
                <c:pt idx="150">
                  <c:v>44082</c:v>
                </c:pt>
                <c:pt idx="151">
                  <c:v>44081</c:v>
                </c:pt>
                <c:pt idx="152">
                  <c:v>44080</c:v>
                </c:pt>
                <c:pt idx="153">
                  <c:v>44079</c:v>
                </c:pt>
                <c:pt idx="154">
                  <c:v>44078</c:v>
                </c:pt>
                <c:pt idx="155">
                  <c:v>44077</c:v>
                </c:pt>
                <c:pt idx="156">
                  <c:v>44076</c:v>
                </c:pt>
                <c:pt idx="157">
                  <c:v>44075</c:v>
                </c:pt>
                <c:pt idx="158">
                  <c:v>44074</c:v>
                </c:pt>
                <c:pt idx="159">
                  <c:v>44073</c:v>
                </c:pt>
                <c:pt idx="160">
                  <c:v>44072</c:v>
                </c:pt>
                <c:pt idx="161">
                  <c:v>44071</c:v>
                </c:pt>
                <c:pt idx="162">
                  <c:v>44070</c:v>
                </c:pt>
                <c:pt idx="163">
                  <c:v>44069</c:v>
                </c:pt>
                <c:pt idx="164">
                  <c:v>44068</c:v>
                </c:pt>
                <c:pt idx="165">
                  <c:v>44067</c:v>
                </c:pt>
                <c:pt idx="166">
                  <c:v>44066</c:v>
                </c:pt>
                <c:pt idx="167">
                  <c:v>44065</c:v>
                </c:pt>
                <c:pt idx="168">
                  <c:v>44064</c:v>
                </c:pt>
                <c:pt idx="169">
                  <c:v>44063</c:v>
                </c:pt>
                <c:pt idx="170">
                  <c:v>44062</c:v>
                </c:pt>
                <c:pt idx="171">
                  <c:v>44061</c:v>
                </c:pt>
                <c:pt idx="172">
                  <c:v>44060</c:v>
                </c:pt>
                <c:pt idx="173">
                  <c:v>44059</c:v>
                </c:pt>
                <c:pt idx="174">
                  <c:v>44058</c:v>
                </c:pt>
                <c:pt idx="175">
                  <c:v>44057</c:v>
                </c:pt>
                <c:pt idx="176">
                  <c:v>44056</c:v>
                </c:pt>
                <c:pt idx="177">
                  <c:v>44055</c:v>
                </c:pt>
                <c:pt idx="178">
                  <c:v>44054</c:v>
                </c:pt>
                <c:pt idx="179">
                  <c:v>44053</c:v>
                </c:pt>
                <c:pt idx="180">
                  <c:v>44052</c:v>
                </c:pt>
                <c:pt idx="181">
                  <c:v>44051</c:v>
                </c:pt>
                <c:pt idx="182">
                  <c:v>44050</c:v>
                </c:pt>
                <c:pt idx="183">
                  <c:v>44049</c:v>
                </c:pt>
                <c:pt idx="184">
                  <c:v>44048</c:v>
                </c:pt>
                <c:pt idx="185">
                  <c:v>44047</c:v>
                </c:pt>
                <c:pt idx="186">
                  <c:v>44046</c:v>
                </c:pt>
                <c:pt idx="187">
                  <c:v>44045</c:v>
                </c:pt>
                <c:pt idx="188">
                  <c:v>44044</c:v>
                </c:pt>
                <c:pt idx="189">
                  <c:v>44043</c:v>
                </c:pt>
                <c:pt idx="190">
                  <c:v>44042</c:v>
                </c:pt>
                <c:pt idx="191">
                  <c:v>44041</c:v>
                </c:pt>
                <c:pt idx="192">
                  <c:v>44040</c:v>
                </c:pt>
                <c:pt idx="193">
                  <c:v>44039</c:v>
                </c:pt>
                <c:pt idx="194">
                  <c:v>44038</c:v>
                </c:pt>
                <c:pt idx="195">
                  <c:v>44037</c:v>
                </c:pt>
                <c:pt idx="196">
                  <c:v>44036</c:v>
                </c:pt>
                <c:pt idx="197">
                  <c:v>44035</c:v>
                </c:pt>
                <c:pt idx="198">
                  <c:v>44034</c:v>
                </c:pt>
                <c:pt idx="199">
                  <c:v>44033</c:v>
                </c:pt>
                <c:pt idx="200">
                  <c:v>44032</c:v>
                </c:pt>
                <c:pt idx="201">
                  <c:v>44031</c:v>
                </c:pt>
                <c:pt idx="202">
                  <c:v>44030</c:v>
                </c:pt>
                <c:pt idx="203">
                  <c:v>44029</c:v>
                </c:pt>
                <c:pt idx="204">
                  <c:v>44028</c:v>
                </c:pt>
                <c:pt idx="205">
                  <c:v>44027</c:v>
                </c:pt>
                <c:pt idx="206">
                  <c:v>44026</c:v>
                </c:pt>
                <c:pt idx="207">
                  <c:v>44025</c:v>
                </c:pt>
                <c:pt idx="208">
                  <c:v>44024</c:v>
                </c:pt>
                <c:pt idx="209">
                  <c:v>44023</c:v>
                </c:pt>
                <c:pt idx="210">
                  <c:v>44022</c:v>
                </c:pt>
                <c:pt idx="211">
                  <c:v>44021</c:v>
                </c:pt>
                <c:pt idx="212">
                  <c:v>44020</c:v>
                </c:pt>
                <c:pt idx="213">
                  <c:v>44019</c:v>
                </c:pt>
                <c:pt idx="214">
                  <c:v>44018</c:v>
                </c:pt>
                <c:pt idx="215">
                  <c:v>44017</c:v>
                </c:pt>
                <c:pt idx="216">
                  <c:v>44016</c:v>
                </c:pt>
                <c:pt idx="217">
                  <c:v>44015</c:v>
                </c:pt>
                <c:pt idx="218">
                  <c:v>44014</c:v>
                </c:pt>
                <c:pt idx="219">
                  <c:v>44013</c:v>
                </c:pt>
                <c:pt idx="220">
                  <c:v>44012</c:v>
                </c:pt>
                <c:pt idx="221">
                  <c:v>44011</c:v>
                </c:pt>
                <c:pt idx="222">
                  <c:v>44010</c:v>
                </c:pt>
                <c:pt idx="223">
                  <c:v>44009</c:v>
                </c:pt>
                <c:pt idx="224">
                  <c:v>44008</c:v>
                </c:pt>
                <c:pt idx="225">
                  <c:v>44007</c:v>
                </c:pt>
                <c:pt idx="226">
                  <c:v>44006</c:v>
                </c:pt>
                <c:pt idx="227">
                  <c:v>44005</c:v>
                </c:pt>
                <c:pt idx="228">
                  <c:v>44004</c:v>
                </c:pt>
                <c:pt idx="229">
                  <c:v>44003</c:v>
                </c:pt>
                <c:pt idx="230">
                  <c:v>44002</c:v>
                </c:pt>
                <c:pt idx="231">
                  <c:v>44001</c:v>
                </c:pt>
                <c:pt idx="232">
                  <c:v>44000</c:v>
                </c:pt>
                <c:pt idx="233">
                  <c:v>43999</c:v>
                </c:pt>
                <c:pt idx="234">
                  <c:v>43998</c:v>
                </c:pt>
                <c:pt idx="235">
                  <c:v>43997</c:v>
                </c:pt>
                <c:pt idx="236">
                  <c:v>43996</c:v>
                </c:pt>
                <c:pt idx="237">
                  <c:v>43995</c:v>
                </c:pt>
                <c:pt idx="238">
                  <c:v>43994</c:v>
                </c:pt>
                <c:pt idx="239">
                  <c:v>43993</c:v>
                </c:pt>
                <c:pt idx="240">
                  <c:v>43992</c:v>
                </c:pt>
                <c:pt idx="241">
                  <c:v>43991</c:v>
                </c:pt>
                <c:pt idx="242">
                  <c:v>43990</c:v>
                </c:pt>
                <c:pt idx="243">
                  <c:v>43989</c:v>
                </c:pt>
                <c:pt idx="244">
                  <c:v>43988</c:v>
                </c:pt>
                <c:pt idx="245">
                  <c:v>43987</c:v>
                </c:pt>
                <c:pt idx="246">
                  <c:v>43986</c:v>
                </c:pt>
                <c:pt idx="247">
                  <c:v>43985</c:v>
                </c:pt>
                <c:pt idx="248">
                  <c:v>43984</c:v>
                </c:pt>
                <c:pt idx="249">
                  <c:v>43983</c:v>
                </c:pt>
                <c:pt idx="250">
                  <c:v>43982</c:v>
                </c:pt>
                <c:pt idx="251">
                  <c:v>43981</c:v>
                </c:pt>
                <c:pt idx="252">
                  <c:v>43980</c:v>
                </c:pt>
                <c:pt idx="253">
                  <c:v>43979</c:v>
                </c:pt>
                <c:pt idx="254">
                  <c:v>43978</c:v>
                </c:pt>
                <c:pt idx="255">
                  <c:v>43977</c:v>
                </c:pt>
                <c:pt idx="256">
                  <c:v>43976</c:v>
                </c:pt>
                <c:pt idx="257">
                  <c:v>43975</c:v>
                </c:pt>
                <c:pt idx="258">
                  <c:v>43974</c:v>
                </c:pt>
                <c:pt idx="259">
                  <c:v>43973</c:v>
                </c:pt>
                <c:pt idx="260">
                  <c:v>43972</c:v>
                </c:pt>
                <c:pt idx="261">
                  <c:v>43971</c:v>
                </c:pt>
                <c:pt idx="262">
                  <c:v>43970</c:v>
                </c:pt>
                <c:pt idx="263">
                  <c:v>43969</c:v>
                </c:pt>
                <c:pt idx="264">
                  <c:v>43968</c:v>
                </c:pt>
                <c:pt idx="265">
                  <c:v>43967</c:v>
                </c:pt>
                <c:pt idx="266">
                  <c:v>43966</c:v>
                </c:pt>
                <c:pt idx="267">
                  <c:v>43965</c:v>
                </c:pt>
                <c:pt idx="268">
                  <c:v>43964</c:v>
                </c:pt>
                <c:pt idx="269">
                  <c:v>43963</c:v>
                </c:pt>
                <c:pt idx="270">
                  <c:v>43962</c:v>
                </c:pt>
                <c:pt idx="271">
                  <c:v>43961</c:v>
                </c:pt>
                <c:pt idx="272">
                  <c:v>43960</c:v>
                </c:pt>
                <c:pt idx="273">
                  <c:v>43959</c:v>
                </c:pt>
                <c:pt idx="274">
                  <c:v>43958</c:v>
                </c:pt>
                <c:pt idx="275">
                  <c:v>43957</c:v>
                </c:pt>
                <c:pt idx="276">
                  <c:v>43956</c:v>
                </c:pt>
                <c:pt idx="277">
                  <c:v>43955</c:v>
                </c:pt>
                <c:pt idx="278">
                  <c:v>43954</c:v>
                </c:pt>
                <c:pt idx="279">
                  <c:v>43953</c:v>
                </c:pt>
                <c:pt idx="280">
                  <c:v>43952</c:v>
                </c:pt>
                <c:pt idx="281">
                  <c:v>43951</c:v>
                </c:pt>
                <c:pt idx="282">
                  <c:v>43950</c:v>
                </c:pt>
                <c:pt idx="283">
                  <c:v>43949</c:v>
                </c:pt>
                <c:pt idx="284">
                  <c:v>43948</c:v>
                </c:pt>
                <c:pt idx="285">
                  <c:v>43947</c:v>
                </c:pt>
              </c:numCache>
            </c:numRef>
          </c:cat>
          <c:val>
            <c:numRef>
              <c:f>A!$AD$11:$AD$296</c:f>
              <c:numCache>
                <c:formatCode>#,##0</c:formatCode>
                <c:ptCount val="2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3898586.8065051548</c:v>
                </c:pt>
                <c:pt idx="8">
                  <c:v>4103912.8612508206</c:v>
                </c:pt>
                <c:pt idx="9">
                  <c:v>4523123.4712106055</c:v>
                </c:pt>
                <c:pt idx="10">
                  <c:v>4542909.2117774142</c:v>
                </c:pt>
                <c:pt idx="11">
                  <c:v>4626556.5075632706</c:v>
                </c:pt>
                <c:pt idx="12">
                  <c:v>5019921.2028078493</c:v>
                </c:pt>
                <c:pt idx="13">
                  <c:v>4991413.190005092</c:v>
                </c:pt>
                <c:pt idx="14">
                  <c:v>5018654.8575607622</c:v>
                </c:pt>
                <c:pt idx="15">
                  <c:v>5241580.8316481244</c:v>
                </c:pt>
                <c:pt idx="16">
                  <c:v>5270703.7677386161</c:v>
                </c:pt>
                <c:pt idx="17">
                  <c:v>5440995.8337777331</c:v>
                </c:pt>
                <c:pt idx="18">
                  <c:v>5302038.3119198689</c:v>
                </c:pt>
                <c:pt idx="19">
                  <c:v>5182493.5544247972</c:v>
                </c:pt>
                <c:pt idx="20">
                  <c:v>5126176.4578271098</c:v>
                </c:pt>
                <c:pt idx="21">
                  <c:v>5070101.0164296655</c:v>
                </c:pt>
                <c:pt idx="22">
                  <c:v>4877029.235949696</c:v>
                </c:pt>
                <c:pt idx="23">
                  <c:v>4973120.7610273538</c:v>
                </c:pt>
                <c:pt idx="24">
                  <c:v>4863157.0833646553</c:v>
                </c:pt>
                <c:pt idx="25">
                  <c:v>4718558.7188913571</c:v>
                </c:pt>
                <c:pt idx="26">
                  <c:v>4789501.2515977724</c:v>
                </c:pt>
                <c:pt idx="27">
                  <c:v>4744359.0917522199</c:v>
                </c:pt>
                <c:pt idx="28">
                  <c:v>4879791.3146814145</c:v>
                </c:pt>
                <c:pt idx="29">
                  <c:v>5215537.0500027789</c:v>
                </c:pt>
                <c:pt idx="30">
                  <c:v>5659249.2568787867</c:v>
                </c:pt>
                <c:pt idx="31">
                  <c:v>6537963.1958369687</c:v>
                </c:pt>
                <c:pt idx="32">
                  <c:v>7003840.5865934053</c:v>
                </c:pt>
                <c:pt idx="33">
                  <c:v>6561950.7322182488</c:v>
                </c:pt>
                <c:pt idx="34">
                  <c:v>6701893.4840094345</c:v>
                </c:pt>
                <c:pt idx="35">
                  <c:v>6739067.2115658158</c:v>
                </c:pt>
                <c:pt idx="36">
                  <c:v>6879413.6967196846</c:v>
                </c:pt>
                <c:pt idx="37">
                  <c:v>6863912.8136174362</c:v>
                </c:pt>
                <c:pt idx="38">
                  <c:v>6646816.3427504217</c:v>
                </c:pt>
                <c:pt idx="39">
                  <c:v>6516825.5173288807</c:v>
                </c:pt>
                <c:pt idx="40">
                  <c:v>6649706.0289522139</c:v>
                </c:pt>
                <c:pt idx="41">
                  <c:v>6516846.0821088152</c:v>
                </c:pt>
                <c:pt idx="42">
                  <c:v>6042249.506043558</c:v>
                </c:pt>
                <c:pt idx="43">
                  <c:v>5034564.1494849632</c:v>
                </c:pt>
                <c:pt idx="44">
                  <c:v>4107365.4833341106</c:v>
                </c:pt>
                <c:pt idx="45">
                  <c:v>3575266.1684362502</c:v>
                </c:pt>
                <c:pt idx="46">
                  <c:v>3471009.672016067</c:v>
                </c:pt>
                <c:pt idx="47">
                  <c:v>3472871.1987773874</c:v>
                </c:pt>
                <c:pt idx="48">
                  <c:v>3934705.3821856319</c:v>
                </c:pt>
                <c:pt idx="49">
                  <c:v>4063269.069772623</c:v>
                </c:pt>
                <c:pt idx="50">
                  <c:v>4152071.2640517992</c:v>
                </c:pt>
                <c:pt idx="51">
                  <c:v>4239849.9939188492</c:v>
                </c:pt>
                <c:pt idx="52">
                  <c:v>4256946.3242063215</c:v>
                </c:pt>
                <c:pt idx="53">
                  <c:v>4371784.7574094748</c:v>
                </c:pt>
                <c:pt idx="54">
                  <c:v>4468208.1927694539</c:v>
                </c:pt>
                <c:pt idx="55">
                  <c:v>4827299.3913662173</c:v>
                </c:pt>
                <c:pt idx="56">
                  <c:v>4969501.350019427</c:v>
                </c:pt>
                <c:pt idx="57">
                  <c:v>4966896.7478751922</c:v>
                </c:pt>
                <c:pt idx="58">
                  <c:v>4919030.3621957898</c:v>
                </c:pt>
                <c:pt idx="59">
                  <c:v>3780960.3195012738</c:v>
                </c:pt>
                <c:pt idx="60">
                  <c:v>3916305.0889579812</c:v>
                </c:pt>
                <c:pt idx="61">
                  <c:v>3702462.6624177396</c:v>
                </c:pt>
                <c:pt idx="62">
                  <c:v>3744673.535415363</c:v>
                </c:pt>
                <c:pt idx="63">
                  <c:v>3656256.6587445401</c:v>
                </c:pt>
                <c:pt idx="64">
                  <c:v>3491096.185904115</c:v>
                </c:pt>
                <c:pt idx="65">
                  <c:v>3377828.949981024</c:v>
                </c:pt>
                <c:pt idx="66">
                  <c:v>3171982.5942600234</c:v>
                </c:pt>
                <c:pt idx="67">
                  <c:v>2819558.2696944391</c:v>
                </c:pt>
                <c:pt idx="68">
                  <c:v>2731222.4125843113</c:v>
                </c:pt>
                <c:pt idx="69">
                  <c:v>2657871.8180081774</c:v>
                </c:pt>
                <c:pt idx="70">
                  <c:v>2594738.8545392472</c:v>
                </c:pt>
                <c:pt idx="71">
                  <c:v>2592906.8038620707</c:v>
                </c:pt>
                <c:pt idx="72">
                  <c:v>2404233.2105427198</c:v>
                </c:pt>
                <c:pt idx="73">
                  <c:v>2416905.8180897939</c:v>
                </c:pt>
                <c:pt idx="74">
                  <c:v>2290082.4766739416</c:v>
                </c:pt>
                <c:pt idx="75">
                  <c:v>2235713.4452903345</c:v>
                </c:pt>
                <c:pt idx="76">
                  <c:v>2221968.8392004315</c:v>
                </c:pt>
                <c:pt idx="77">
                  <c:v>2095172.943732582</c:v>
                </c:pt>
                <c:pt idx="78">
                  <c:v>1982259.68678925</c:v>
                </c:pt>
                <c:pt idx="79">
                  <c:v>1939696.3623788897</c:v>
                </c:pt>
                <c:pt idx="80">
                  <c:v>1848176.0335801993</c:v>
                </c:pt>
                <c:pt idx="81">
                  <c:v>1753520.3606266766</c:v>
                </c:pt>
                <c:pt idx="82">
                  <c:v>1610481.3447304503</c:v>
                </c:pt>
                <c:pt idx="83">
                  <c:v>1537616.5740410865</c:v>
                </c:pt>
                <c:pt idx="84">
                  <c:v>1478619.1332147818</c:v>
                </c:pt>
                <c:pt idx="85">
                  <c:v>1315024.4075158334</c:v>
                </c:pt>
                <c:pt idx="86">
                  <c:v>1165174.3592878501</c:v>
                </c:pt>
                <c:pt idx="87">
                  <c:v>1020318.6340325058</c:v>
                </c:pt>
                <c:pt idx="88">
                  <c:v>929632.6465723794</c:v>
                </c:pt>
                <c:pt idx="89">
                  <c:v>931060.54697512754</c:v>
                </c:pt>
                <c:pt idx="90">
                  <c:v>889929.01485363755</c:v>
                </c:pt>
                <c:pt idx="91">
                  <c:v>836649.22699841601</c:v>
                </c:pt>
                <c:pt idx="92">
                  <c:v>764591.16316430562</c:v>
                </c:pt>
                <c:pt idx="93">
                  <c:v>721411.53309462173</c:v>
                </c:pt>
                <c:pt idx="94">
                  <c:v>701288.46947552939</c:v>
                </c:pt>
                <c:pt idx="95">
                  <c:v>661273.36463897128</c:v>
                </c:pt>
                <c:pt idx="96">
                  <c:v>576974.29588968086</c:v>
                </c:pt>
                <c:pt idx="97">
                  <c:v>562579.87608582387</c:v>
                </c:pt>
                <c:pt idx="98">
                  <c:v>530409.67504927807</c:v>
                </c:pt>
                <c:pt idx="99">
                  <c:v>492774.60635601036</c:v>
                </c:pt>
                <c:pt idx="100">
                  <c:v>451037.87881227763</c:v>
                </c:pt>
                <c:pt idx="101">
                  <c:v>393632.31581068371</c:v>
                </c:pt>
                <c:pt idx="102">
                  <c:v>345445.27585458441</c:v>
                </c:pt>
                <c:pt idx="103">
                  <c:v>335349.6470880757</c:v>
                </c:pt>
                <c:pt idx="104">
                  <c:v>343347.85178137379</c:v>
                </c:pt>
                <c:pt idx="105">
                  <c:v>325168.89985311008</c:v>
                </c:pt>
                <c:pt idx="106">
                  <c:v>312243.86274527316</c:v>
                </c:pt>
                <c:pt idx="107">
                  <c:v>274862.12806576875</c:v>
                </c:pt>
                <c:pt idx="108">
                  <c:v>281731.35417373321</c:v>
                </c:pt>
                <c:pt idx="109">
                  <c:v>248525.34097761489</c:v>
                </c:pt>
                <c:pt idx="110">
                  <c:v>207581.52381903297</c:v>
                </c:pt>
                <c:pt idx="111">
                  <c:v>193414.53603841423</c:v>
                </c:pt>
                <c:pt idx="112">
                  <c:v>196648.6404527445</c:v>
                </c:pt>
                <c:pt idx="113">
                  <c:v>165198.29739805404</c:v>
                </c:pt>
                <c:pt idx="114">
                  <c:v>151173.75700160861</c:v>
                </c:pt>
                <c:pt idx="115">
                  <c:v>126013.03115283094</c:v>
                </c:pt>
                <c:pt idx="116">
                  <c:v>105844.65381550395</c:v>
                </c:pt>
                <c:pt idx="117">
                  <c:v>114982.1604685452</c:v>
                </c:pt>
                <c:pt idx="118">
                  <c:v>113825.8617588231</c:v>
                </c:pt>
                <c:pt idx="119">
                  <c:v>104381.28961312943</c:v>
                </c:pt>
                <c:pt idx="120">
                  <c:v>95545.353583102915</c:v>
                </c:pt>
                <c:pt idx="121">
                  <c:v>82520.066716438261</c:v>
                </c:pt>
                <c:pt idx="122">
                  <c:v>93189.01647011863</c:v>
                </c:pt>
                <c:pt idx="123">
                  <c:v>103749.34197747373</c:v>
                </c:pt>
                <c:pt idx="124">
                  <c:v>87044.213252265457</c:v>
                </c:pt>
                <c:pt idx="125">
                  <c:v>86712.584948160118</c:v>
                </c:pt>
                <c:pt idx="126">
                  <c:v>88651.133092893288</c:v>
                </c:pt>
                <c:pt idx="127">
                  <c:v>75031.85781383529</c:v>
                </c:pt>
                <c:pt idx="128">
                  <c:v>69863.359023418161</c:v>
                </c:pt>
                <c:pt idx="129">
                  <c:v>56546.18662834743</c:v>
                </c:pt>
                <c:pt idx="130">
                  <c:v>38434.597242321499</c:v>
                </c:pt>
                <c:pt idx="131">
                  <c:v>38589.755321328987</c:v>
                </c:pt>
                <c:pt idx="132">
                  <c:v>37244.147597217685</c:v>
                </c:pt>
                <c:pt idx="133">
                  <c:v>31257.599847025995</c:v>
                </c:pt>
                <c:pt idx="134">
                  <c:v>34977.311109179922</c:v>
                </c:pt>
                <c:pt idx="135">
                  <c:v>32486.644515345961</c:v>
                </c:pt>
                <c:pt idx="136">
                  <c:v>30121.108326273366</c:v>
                </c:pt>
                <c:pt idx="137">
                  <c:v>31409.666390677146</c:v>
                </c:pt>
                <c:pt idx="138">
                  <c:v>29685.567325954751</c:v>
                </c:pt>
                <c:pt idx="139">
                  <c:v>27179.281711291183</c:v>
                </c:pt>
                <c:pt idx="140">
                  <c:v>30447.024307913129</c:v>
                </c:pt>
                <c:pt idx="141">
                  <c:v>22833.686984895485</c:v>
                </c:pt>
                <c:pt idx="142">
                  <c:v>28783.300294031393</c:v>
                </c:pt>
                <c:pt idx="143">
                  <c:v>36447.020147118827</c:v>
                </c:pt>
                <c:pt idx="144">
                  <c:v>34924.407902348452</c:v>
                </c:pt>
                <c:pt idx="145">
                  <c:v>34873.787813247902</c:v>
                </c:pt>
                <c:pt idx="146">
                  <c:v>35943.59085776416</c:v>
                </c:pt>
                <c:pt idx="147">
                  <c:v>32357.131907618772</c:v>
                </c:pt>
                <c:pt idx="148">
                  <c:v>30254.772695429743</c:v>
                </c:pt>
                <c:pt idx="149">
                  <c:v>23745.845921416727</c:v>
                </c:pt>
                <c:pt idx="150">
                  <c:v>12488.909727197417</c:v>
                </c:pt>
                <c:pt idx="151">
                  <c:v>7146.8489675577921</c:v>
                </c:pt>
                <c:pt idx="152">
                  <c:v>10430.95029883815</c:v>
                </c:pt>
                <c:pt idx="153">
                  <c:v>10904.088909083366</c:v>
                </c:pt>
                <c:pt idx="154">
                  <c:v>11872.830046537554</c:v>
                </c:pt>
                <c:pt idx="155">
                  <c:v>11849.590847697462</c:v>
                </c:pt>
                <c:pt idx="156">
                  <c:v>7461.3757385902936</c:v>
                </c:pt>
                <c:pt idx="157">
                  <c:v>7200.3267689041386</c:v>
                </c:pt>
                <c:pt idx="158">
                  <c:v>9433.3583198862652</c:v>
                </c:pt>
                <c:pt idx="159">
                  <c:v>2082.868743882821</c:v>
                </c:pt>
                <c:pt idx="160">
                  <c:v>500.38476298028883</c:v>
                </c:pt>
                <c:pt idx="161">
                  <c:v>-439.19020026094654</c:v>
                </c:pt>
                <c:pt idx="162">
                  <c:v>-3013.3090657086304</c:v>
                </c:pt>
                <c:pt idx="163">
                  <c:v>-3000.8263753690389</c:v>
                </c:pt>
                <c:pt idx="164">
                  <c:v>-218.66707280788566</c:v>
                </c:pt>
                <c:pt idx="165">
                  <c:v>1564.8036957551562</c:v>
                </c:pt>
                <c:pt idx="166">
                  <c:v>1115.8279059347201</c:v>
                </c:pt>
                <c:pt idx="167">
                  <c:v>3350.8264955898803</c:v>
                </c:pt>
                <c:pt idx="168">
                  <c:v>6440.4591915334986</c:v>
                </c:pt>
                <c:pt idx="169">
                  <c:v>5943.7795766589961</c:v>
                </c:pt>
                <c:pt idx="170">
                  <c:v>7487.5969699946863</c:v>
                </c:pt>
                <c:pt idx="171">
                  <c:v>6885.7697630863495</c:v>
                </c:pt>
                <c:pt idx="172">
                  <c:v>1221.2965002190688</c:v>
                </c:pt>
                <c:pt idx="173">
                  <c:v>2339.0969586966503</c:v>
                </c:pt>
                <c:pt idx="174">
                  <c:v>2847.8101908252479</c:v>
                </c:pt>
                <c:pt idx="175">
                  <c:v>965.72077939832116</c:v>
                </c:pt>
                <c:pt idx="176">
                  <c:v>5117.628515499634</c:v>
                </c:pt>
                <c:pt idx="177">
                  <c:v>7658.9849770744304</c:v>
                </c:pt>
                <c:pt idx="178">
                  <c:v>11471.83720622918</c:v>
                </c:pt>
                <c:pt idx="179">
                  <c:v>14674.874790430853</c:v>
                </c:pt>
                <c:pt idx="180">
                  <c:v>14971.128426755427</c:v>
                </c:pt>
                <c:pt idx="181">
                  <c:v>15068.23804385366</c:v>
                </c:pt>
                <c:pt idx="182">
                  <c:v>13514.455598783317</c:v>
                </c:pt>
                <c:pt idx="183">
                  <c:v>12154.641029960307</c:v>
                </c:pt>
                <c:pt idx="184">
                  <c:v>17591.659490839127</c:v>
                </c:pt>
                <c:pt idx="185">
                  <c:v>13988.01523076022</c:v>
                </c:pt>
                <c:pt idx="186">
                  <c:v>14118.004297450319</c:v>
                </c:pt>
                <c:pt idx="187">
                  <c:v>14229.993729027492</c:v>
                </c:pt>
                <c:pt idx="188">
                  <c:v>13989.908275627671</c:v>
                </c:pt>
                <c:pt idx="189">
                  <c:v>15298.312782981657</c:v>
                </c:pt>
                <c:pt idx="190">
                  <c:v>19623.165592451878</c:v>
                </c:pt>
                <c:pt idx="191">
                  <c:v>14782.015521002882</c:v>
                </c:pt>
                <c:pt idx="192">
                  <c:v>17114.873534279086</c:v>
                </c:pt>
                <c:pt idx="193">
                  <c:v>20578.090497749159</c:v>
                </c:pt>
                <c:pt idx="194">
                  <c:v>24511.668071189095</c:v>
                </c:pt>
                <c:pt idx="195">
                  <c:v>29297.743500029446</c:v>
                </c:pt>
                <c:pt idx="196">
                  <c:v>24032.194704646008</c:v>
                </c:pt>
                <c:pt idx="197">
                  <c:v>20830.179485134253</c:v>
                </c:pt>
                <c:pt idx="198">
                  <c:v>20306.912016010505</c:v>
                </c:pt>
                <c:pt idx="199">
                  <c:v>21133.11160286576</c:v>
                </c:pt>
                <c:pt idx="200">
                  <c:v>18322.074827843448</c:v>
                </c:pt>
                <c:pt idx="201">
                  <c:v>15269.52554777849</c:v>
                </c:pt>
                <c:pt idx="202">
                  <c:v>10683.364206743136</c:v>
                </c:pt>
                <c:pt idx="203">
                  <c:v>16228.590895536126</c:v>
                </c:pt>
                <c:pt idx="204">
                  <c:v>16807.069363539584</c:v>
                </c:pt>
                <c:pt idx="205">
                  <c:v>18460.627881233257</c:v>
                </c:pt>
                <c:pt idx="206">
                  <c:v>19922.220769999774</c:v>
                </c:pt>
                <c:pt idx="207">
                  <c:v>21035.929482197851</c:v>
                </c:pt>
                <c:pt idx="208">
                  <c:v>22082.210130831088</c:v>
                </c:pt>
                <c:pt idx="209">
                  <c:v>23414.272514108448</c:v>
                </c:pt>
                <c:pt idx="210">
                  <c:v>24800.96912702408</c:v>
                </c:pt>
                <c:pt idx="211">
                  <c:v>19246.240529668121</c:v>
                </c:pt>
                <c:pt idx="212">
                  <c:v>14351.453383225462</c:v>
                </c:pt>
                <c:pt idx="213">
                  <c:v>15155.583274413353</c:v>
                </c:pt>
                <c:pt idx="214">
                  <c:v>13221.203244623113</c:v>
                </c:pt>
                <c:pt idx="215">
                  <c:v>12949.008761010045</c:v>
                </c:pt>
                <c:pt idx="216">
                  <c:v>11838.007980427969</c:v>
                </c:pt>
                <c:pt idx="217">
                  <c:v>13018.855832936037</c:v>
                </c:pt>
                <c:pt idx="218">
                  <c:v>17233.496984226334</c:v>
                </c:pt>
                <c:pt idx="219">
                  <c:v>19378.196938964949</c:v>
                </c:pt>
                <c:pt idx="220">
                  <c:v>21797.675979659489</c:v>
                </c:pt>
                <c:pt idx="221">
                  <c:v>29493.295273261079</c:v>
                </c:pt>
                <c:pt idx="222">
                  <c:v>31712.983282855104</c:v>
                </c:pt>
                <c:pt idx="223">
                  <c:v>33115.625259362554</c:v>
                </c:pt>
                <c:pt idx="224">
                  <c:v>32475.745829268068</c:v>
                </c:pt>
                <c:pt idx="225">
                  <c:v>30418.327532404339</c:v>
                </c:pt>
                <c:pt idx="226">
                  <c:v>28436.607511023511</c:v>
                </c:pt>
                <c:pt idx="227">
                  <c:v>26830.227512226451</c:v>
                </c:pt>
                <c:pt idx="228">
                  <c:v>23886.163129592584</c:v>
                </c:pt>
                <c:pt idx="229">
                  <c:v>25879.634156731288</c:v>
                </c:pt>
                <c:pt idx="230">
                  <c:v>26862.314209400749</c:v>
                </c:pt>
                <c:pt idx="231">
                  <c:v>27572.449363303847</c:v>
                </c:pt>
                <c:pt idx="232">
                  <c:v>29333.69218502468</c:v>
                </c:pt>
                <c:pt idx="233">
                  <c:v>42000.955521492288</c:v>
                </c:pt>
                <c:pt idx="234">
                  <c:v>48339.855312747371</c:v>
                </c:pt>
                <c:pt idx="235">
                  <c:v>65570.032960678203</c:v>
                </c:pt>
                <c:pt idx="236">
                  <c:v>64110.102985402409</c:v>
                </c:pt>
                <c:pt idx="237">
                  <c:v>64325.822517385583</c:v>
                </c:pt>
                <c:pt idx="238">
                  <c:v>62338.653036673648</c:v>
                </c:pt>
                <c:pt idx="239">
                  <c:v>62400.49136308032</c:v>
                </c:pt>
                <c:pt idx="240">
                  <c:v>62971.662879145028</c:v>
                </c:pt>
                <c:pt idx="241">
                  <c:v>75218.085212157297</c:v>
                </c:pt>
                <c:pt idx="242">
                  <c:v>78696.951121089587</c:v>
                </c:pt>
                <c:pt idx="243">
                  <c:v>84741.250154322188</c:v>
                </c:pt>
                <c:pt idx="244">
                  <c:v>87780.198558514297</c:v>
                </c:pt>
                <c:pt idx="245">
                  <c:v>101703.53610415889</c:v>
                </c:pt>
                <c:pt idx="246">
                  <c:v>116217.37151486331</c:v>
                </c:pt>
                <c:pt idx="247">
                  <c:v>103025.90915925345</c:v>
                </c:pt>
                <c:pt idx="248">
                  <c:v>93098.145139701155</c:v>
                </c:pt>
                <c:pt idx="249">
                  <c:v>76799.763178339694</c:v>
                </c:pt>
                <c:pt idx="250">
                  <c:v>108296.97829476184</c:v>
                </c:pt>
                <c:pt idx="251">
                  <c:v>112216.26687898545</c:v>
                </c:pt>
                <c:pt idx="252">
                  <c:v>123999.2744944984</c:v>
                </c:pt>
                <c:pt idx="253">
                  <c:v>145788.59570733723</c:v>
                </c:pt>
                <c:pt idx="254">
                  <c:v>167912.91440455132</c:v>
                </c:pt>
                <c:pt idx="255">
                  <c:v>183952.21762365074</c:v>
                </c:pt>
                <c:pt idx="256">
                  <c:v>221650.67688437033</c:v>
                </c:pt>
                <c:pt idx="257">
                  <c:v>171872.60743397532</c:v>
                </c:pt>
                <c:pt idx="258">
                  <c:v>161802.66598041044</c:v>
                </c:pt>
                <c:pt idx="259">
                  <c:v>152936.82074122003</c:v>
                </c:pt>
                <c:pt idx="260">
                  <c:v>163581.09254196397</c:v>
                </c:pt>
                <c:pt idx="261">
                  <c:v>171380.75486387446</c:v>
                </c:pt>
                <c:pt idx="262">
                  <c:v>216506.19722515051</c:v>
                </c:pt>
                <c:pt idx="263">
                  <c:v>220432.65646961264</c:v>
                </c:pt>
                <c:pt idx="264">
                  <c:v>256189.23334150514</c:v>
                </c:pt>
                <c:pt idx="265">
                  <c:v>266256.14618878713</c:v>
                </c:pt>
                <c:pt idx="266">
                  <c:v>275166.76964809414</c:v>
                </c:pt>
                <c:pt idx="267">
                  <c:v>290248.41685537645</c:v>
                </c:pt>
                <c:pt idx="268">
                  <c:v>284956.99172153923</c:v>
                </c:pt>
                <c:pt idx="269">
                  <c:v>258871.1660619567</c:v>
                </c:pt>
                <c:pt idx="270">
                  <c:v>293528.23653225816</c:v>
                </c:pt>
                <c:pt idx="271">
                  <c:v>315992.29375245573</c:v>
                </c:pt>
                <c:pt idx="272">
                  <c:v>333183.45847216627</c:v>
                </c:pt>
                <c:pt idx="273">
                  <c:v>365149.53249783849</c:v>
                </c:pt>
                <c:pt idx="274">
                  <c:v>381070.19621043908</c:v>
                </c:pt>
                <c:pt idx="275">
                  <c:v>481903.56211471395</c:v>
                </c:pt>
                <c:pt idx="276">
                  <c:v>575775.80687750271</c:v>
                </c:pt>
                <c:pt idx="277">
                  <c:v>590782.17146980448</c:v>
                </c:pt>
                <c:pt idx="278">
                  <c:v>664208.52699339332</c:v>
                </c:pt>
                <c:pt idx="279">
                  <c:v>670843.72163595748</c:v>
                </c:pt>
                <c:pt idx="280">
                  <c:v>664732.05333146185</c:v>
                </c:pt>
                <c:pt idx="281">
                  <c:v>738079.93413642317</c:v>
                </c:pt>
                <c:pt idx="282">
                  <c:v>761650.15953280078</c:v>
                </c:pt>
                <c:pt idx="283">
                  <c:v>756836.63063770579</c:v>
                </c:pt>
                <c:pt idx="284">
                  <c:v>819719.85533796367</c:v>
                </c:pt>
                <c:pt idx="285">
                  <c:v>820109.46939892182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3C-4F51-9FC3-B807B88AC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808256"/>
        <c:axId val="485805344"/>
      </c:lineChart>
      <c:dateAx>
        <c:axId val="485808256"/>
        <c:scaling>
          <c:orientation val="minMax"/>
        </c:scaling>
        <c:delete val="0"/>
        <c:axPos val="b"/>
        <c:numFmt formatCode="dd/mm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5805344"/>
        <c:crosses val="autoZero"/>
        <c:auto val="1"/>
        <c:lblOffset val="100"/>
        <c:baseTimeUnit val="days"/>
      </c:dateAx>
      <c:valAx>
        <c:axId val="48580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580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A!$AA$10</c:f>
              <c:strCache>
                <c:ptCount val="1"/>
                <c:pt idx="0">
                  <c:v>Tests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A!$Z$11:$Z$296</c:f>
              <c:numCache>
                <c:formatCode>dd/mm/yy;@</c:formatCode>
                <c:ptCount val="286"/>
                <c:pt idx="0">
                  <c:v>44232</c:v>
                </c:pt>
                <c:pt idx="1">
                  <c:v>44231</c:v>
                </c:pt>
                <c:pt idx="2">
                  <c:v>44230</c:v>
                </c:pt>
                <c:pt idx="3">
                  <c:v>44229</c:v>
                </c:pt>
                <c:pt idx="4">
                  <c:v>44228</c:v>
                </c:pt>
                <c:pt idx="5">
                  <c:v>44227</c:v>
                </c:pt>
                <c:pt idx="6">
                  <c:v>44226</c:v>
                </c:pt>
                <c:pt idx="7">
                  <c:v>44225</c:v>
                </c:pt>
                <c:pt idx="8">
                  <c:v>44224</c:v>
                </c:pt>
                <c:pt idx="9">
                  <c:v>44223</c:v>
                </c:pt>
                <c:pt idx="10">
                  <c:v>44222</c:v>
                </c:pt>
                <c:pt idx="11">
                  <c:v>44221</c:v>
                </c:pt>
                <c:pt idx="12">
                  <c:v>44220</c:v>
                </c:pt>
                <c:pt idx="13">
                  <c:v>44219</c:v>
                </c:pt>
                <c:pt idx="14">
                  <c:v>44218</c:v>
                </c:pt>
                <c:pt idx="15">
                  <c:v>44217</c:v>
                </c:pt>
                <c:pt idx="16">
                  <c:v>44216</c:v>
                </c:pt>
                <c:pt idx="17">
                  <c:v>44215</c:v>
                </c:pt>
                <c:pt idx="18">
                  <c:v>44214</c:v>
                </c:pt>
                <c:pt idx="19">
                  <c:v>44213</c:v>
                </c:pt>
                <c:pt idx="20">
                  <c:v>44212</c:v>
                </c:pt>
                <c:pt idx="21">
                  <c:v>44211</c:v>
                </c:pt>
                <c:pt idx="22">
                  <c:v>44210</c:v>
                </c:pt>
                <c:pt idx="23">
                  <c:v>44209</c:v>
                </c:pt>
                <c:pt idx="24">
                  <c:v>44208</c:v>
                </c:pt>
                <c:pt idx="25">
                  <c:v>44207</c:v>
                </c:pt>
                <c:pt idx="26">
                  <c:v>44206</c:v>
                </c:pt>
                <c:pt idx="27">
                  <c:v>44205</c:v>
                </c:pt>
                <c:pt idx="28">
                  <c:v>44204</c:v>
                </c:pt>
                <c:pt idx="29">
                  <c:v>44203</c:v>
                </c:pt>
                <c:pt idx="30">
                  <c:v>44202</c:v>
                </c:pt>
                <c:pt idx="31">
                  <c:v>44201</c:v>
                </c:pt>
                <c:pt idx="32">
                  <c:v>44200</c:v>
                </c:pt>
                <c:pt idx="33">
                  <c:v>44199</c:v>
                </c:pt>
                <c:pt idx="34">
                  <c:v>44198</c:v>
                </c:pt>
                <c:pt idx="35">
                  <c:v>44197</c:v>
                </c:pt>
                <c:pt idx="36">
                  <c:v>44196</c:v>
                </c:pt>
                <c:pt idx="37">
                  <c:v>44195</c:v>
                </c:pt>
                <c:pt idx="38">
                  <c:v>44194</c:v>
                </c:pt>
                <c:pt idx="39">
                  <c:v>44193</c:v>
                </c:pt>
                <c:pt idx="40">
                  <c:v>44192</c:v>
                </c:pt>
                <c:pt idx="41">
                  <c:v>44191</c:v>
                </c:pt>
                <c:pt idx="42">
                  <c:v>44190</c:v>
                </c:pt>
                <c:pt idx="43">
                  <c:v>44189</c:v>
                </c:pt>
                <c:pt idx="44">
                  <c:v>44188</c:v>
                </c:pt>
                <c:pt idx="45">
                  <c:v>44187</c:v>
                </c:pt>
                <c:pt idx="46">
                  <c:v>44186</c:v>
                </c:pt>
                <c:pt idx="47">
                  <c:v>44185</c:v>
                </c:pt>
                <c:pt idx="48">
                  <c:v>44184</c:v>
                </c:pt>
                <c:pt idx="49">
                  <c:v>44183</c:v>
                </c:pt>
                <c:pt idx="50">
                  <c:v>44182</c:v>
                </c:pt>
                <c:pt idx="51">
                  <c:v>44181</c:v>
                </c:pt>
                <c:pt idx="52">
                  <c:v>44180</c:v>
                </c:pt>
                <c:pt idx="53">
                  <c:v>44179</c:v>
                </c:pt>
                <c:pt idx="54">
                  <c:v>44178</c:v>
                </c:pt>
                <c:pt idx="55">
                  <c:v>44177</c:v>
                </c:pt>
                <c:pt idx="56">
                  <c:v>44176</c:v>
                </c:pt>
                <c:pt idx="57">
                  <c:v>44175</c:v>
                </c:pt>
                <c:pt idx="58">
                  <c:v>44174</c:v>
                </c:pt>
                <c:pt idx="59">
                  <c:v>44173</c:v>
                </c:pt>
                <c:pt idx="60">
                  <c:v>44172</c:v>
                </c:pt>
                <c:pt idx="61">
                  <c:v>44171</c:v>
                </c:pt>
                <c:pt idx="62">
                  <c:v>44170</c:v>
                </c:pt>
                <c:pt idx="63">
                  <c:v>44169</c:v>
                </c:pt>
                <c:pt idx="64">
                  <c:v>44168</c:v>
                </c:pt>
                <c:pt idx="65">
                  <c:v>44167</c:v>
                </c:pt>
                <c:pt idx="66">
                  <c:v>44166</c:v>
                </c:pt>
                <c:pt idx="67">
                  <c:v>44165</c:v>
                </c:pt>
                <c:pt idx="68">
                  <c:v>44164</c:v>
                </c:pt>
                <c:pt idx="69">
                  <c:v>44163</c:v>
                </c:pt>
                <c:pt idx="70">
                  <c:v>44162</c:v>
                </c:pt>
                <c:pt idx="71">
                  <c:v>44161</c:v>
                </c:pt>
                <c:pt idx="72">
                  <c:v>44160</c:v>
                </c:pt>
                <c:pt idx="73">
                  <c:v>44159</c:v>
                </c:pt>
                <c:pt idx="74">
                  <c:v>44158</c:v>
                </c:pt>
                <c:pt idx="75">
                  <c:v>44157</c:v>
                </c:pt>
                <c:pt idx="76">
                  <c:v>44156</c:v>
                </c:pt>
                <c:pt idx="77">
                  <c:v>44155</c:v>
                </c:pt>
                <c:pt idx="78">
                  <c:v>44154</c:v>
                </c:pt>
                <c:pt idx="79">
                  <c:v>44153</c:v>
                </c:pt>
                <c:pt idx="80">
                  <c:v>44152</c:v>
                </c:pt>
                <c:pt idx="81">
                  <c:v>44151</c:v>
                </c:pt>
                <c:pt idx="82">
                  <c:v>44150</c:v>
                </c:pt>
                <c:pt idx="83">
                  <c:v>44149</c:v>
                </c:pt>
                <c:pt idx="84">
                  <c:v>44148</c:v>
                </c:pt>
                <c:pt idx="85">
                  <c:v>44147</c:v>
                </c:pt>
                <c:pt idx="86">
                  <c:v>44146</c:v>
                </c:pt>
                <c:pt idx="87">
                  <c:v>44145</c:v>
                </c:pt>
                <c:pt idx="88">
                  <c:v>44144</c:v>
                </c:pt>
                <c:pt idx="89">
                  <c:v>44143</c:v>
                </c:pt>
                <c:pt idx="90">
                  <c:v>44142</c:v>
                </c:pt>
                <c:pt idx="91">
                  <c:v>44141</c:v>
                </c:pt>
                <c:pt idx="92">
                  <c:v>44140</c:v>
                </c:pt>
                <c:pt idx="93">
                  <c:v>44139</c:v>
                </c:pt>
                <c:pt idx="94">
                  <c:v>44138</c:v>
                </c:pt>
                <c:pt idx="95">
                  <c:v>44137</c:v>
                </c:pt>
                <c:pt idx="96">
                  <c:v>44136</c:v>
                </c:pt>
                <c:pt idx="97">
                  <c:v>44135</c:v>
                </c:pt>
                <c:pt idx="98">
                  <c:v>44134</c:v>
                </c:pt>
                <c:pt idx="99">
                  <c:v>44133</c:v>
                </c:pt>
                <c:pt idx="100">
                  <c:v>44132</c:v>
                </c:pt>
                <c:pt idx="101">
                  <c:v>44131</c:v>
                </c:pt>
                <c:pt idx="102">
                  <c:v>44130</c:v>
                </c:pt>
                <c:pt idx="103">
                  <c:v>44129</c:v>
                </c:pt>
                <c:pt idx="104">
                  <c:v>44128</c:v>
                </c:pt>
                <c:pt idx="105">
                  <c:v>44127</c:v>
                </c:pt>
                <c:pt idx="106">
                  <c:v>44126</c:v>
                </c:pt>
                <c:pt idx="107">
                  <c:v>44125</c:v>
                </c:pt>
                <c:pt idx="108">
                  <c:v>44124</c:v>
                </c:pt>
                <c:pt idx="109">
                  <c:v>44123</c:v>
                </c:pt>
                <c:pt idx="110">
                  <c:v>44122</c:v>
                </c:pt>
                <c:pt idx="111">
                  <c:v>44121</c:v>
                </c:pt>
                <c:pt idx="112">
                  <c:v>44120</c:v>
                </c:pt>
                <c:pt idx="113">
                  <c:v>44119</c:v>
                </c:pt>
                <c:pt idx="114">
                  <c:v>44118</c:v>
                </c:pt>
                <c:pt idx="115">
                  <c:v>44117</c:v>
                </c:pt>
                <c:pt idx="116">
                  <c:v>44116</c:v>
                </c:pt>
                <c:pt idx="117">
                  <c:v>44115</c:v>
                </c:pt>
                <c:pt idx="118">
                  <c:v>44114</c:v>
                </c:pt>
                <c:pt idx="119">
                  <c:v>44113</c:v>
                </c:pt>
                <c:pt idx="120">
                  <c:v>44112</c:v>
                </c:pt>
                <c:pt idx="121">
                  <c:v>44111</c:v>
                </c:pt>
                <c:pt idx="122">
                  <c:v>44110</c:v>
                </c:pt>
                <c:pt idx="123">
                  <c:v>44109</c:v>
                </c:pt>
                <c:pt idx="124">
                  <c:v>44108</c:v>
                </c:pt>
                <c:pt idx="125">
                  <c:v>44107</c:v>
                </c:pt>
                <c:pt idx="126">
                  <c:v>44106</c:v>
                </c:pt>
                <c:pt idx="127">
                  <c:v>44105</c:v>
                </c:pt>
                <c:pt idx="128">
                  <c:v>44104</c:v>
                </c:pt>
                <c:pt idx="129">
                  <c:v>44103</c:v>
                </c:pt>
                <c:pt idx="130">
                  <c:v>44102</c:v>
                </c:pt>
                <c:pt idx="131">
                  <c:v>44101</c:v>
                </c:pt>
                <c:pt idx="132">
                  <c:v>44100</c:v>
                </c:pt>
                <c:pt idx="133">
                  <c:v>44099</c:v>
                </c:pt>
                <c:pt idx="134">
                  <c:v>44098</c:v>
                </c:pt>
                <c:pt idx="135">
                  <c:v>44097</c:v>
                </c:pt>
                <c:pt idx="136">
                  <c:v>44096</c:v>
                </c:pt>
                <c:pt idx="137">
                  <c:v>44095</c:v>
                </c:pt>
                <c:pt idx="138">
                  <c:v>44094</c:v>
                </c:pt>
                <c:pt idx="139">
                  <c:v>44093</c:v>
                </c:pt>
                <c:pt idx="140">
                  <c:v>44092</c:v>
                </c:pt>
                <c:pt idx="141">
                  <c:v>44091</c:v>
                </c:pt>
                <c:pt idx="142">
                  <c:v>44090</c:v>
                </c:pt>
                <c:pt idx="143">
                  <c:v>44089</c:v>
                </c:pt>
                <c:pt idx="144">
                  <c:v>44088</c:v>
                </c:pt>
                <c:pt idx="145">
                  <c:v>44087</c:v>
                </c:pt>
                <c:pt idx="146">
                  <c:v>44086</c:v>
                </c:pt>
                <c:pt idx="147">
                  <c:v>44085</c:v>
                </c:pt>
                <c:pt idx="148">
                  <c:v>44084</c:v>
                </c:pt>
                <c:pt idx="149">
                  <c:v>44083</c:v>
                </c:pt>
                <c:pt idx="150">
                  <c:v>44082</c:v>
                </c:pt>
                <c:pt idx="151">
                  <c:v>44081</c:v>
                </c:pt>
                <c:pt idx="152">
                  <c:v>44080</c:v>
                </c:pt>
                <c:pt idx="153">
                  <c:v>44079</c:v>
                </c:pt>
                <c:pt idx="154">
                  <c:v>44078</c:v>
                </c:pt>
                <c:pt idx="155">
                  <c:v>44077</c:v>
                </c:pt>
                <c:pt idx="156">
                  <c:v>44076</c:v>
                </c:pt>
                <c:pt idx="157">
                  <c:v>44075</c:v>
                </c:pt>
                <c:pt idx="158">
                  <c:v>44074</c:v>
                </c:pt>
                <c:pt idx="159">
                  <c:v>44073</c:v>
                </c:pt>
                <c:pt idx="160">
                  <c:v>44072</c:v>
                </c:pt>
                <c:pt idx="161">
                  <c:v>44071</c:v>
                </c:pt>
                <c:pt idx="162">
                  <c:v>44070</c:v>
                </c:pt>
                <c:pt idx="163">
                  <c:v>44069</c:v>
                </c:pt>
                <c:pt idx="164">
                  <c:v>44068</c:v>
                </c:pt>
                <c:pt idx="165">
                  <c:v>44067</c:v>
                </c:pt>
                <c:pt idx="166">
                  <c:v>44066</c:v>
                </c:pt>
                <c:pt idx="167">
                  <c:v>44065</c:v>
                </c:pt>
                <c:pt idx="168">
                  <c:v>44064</c:v>
                </c:pt>
                <c:pt idx="169">
                  <c:v>44063</c:v>
                </c:pt>
                <c:pt idx="170">
                  <c:v>44062</c:v>
                </c:pt>
                <c:pt idx="171">
                  <c:v>44061</c:v>
                </c:pt>
                <c:pt idx="172">
                  <c:v>44060</c:v>
                </c:pt>
                <c:pt idx="173">
                  <c:v>44059</c:v>
                </c:pt>
                <c:pt idx="174">
                  <c:v>44058</c:v>
                </c:pt>
                <c:pt idx="175">
                  <c:v>44057</c:v>
                </c:pt>
                <c:pt idx="176">
                  <c:v>44056</c:v>
                </c:pt>
                <c:pt idx="177">
                  <c:v>44055</c:v>
                </c:pt>
                <c:pt idx="178">
                  <c:v>44054</c:v>
                </c:pt>
                <c:pt idx="179">
                  <c:v>44053</c:v>
                </c:pt>
                <c:pt idx="180">
                  <c:v>44052</c:v>
                </c:pt>
                <c:pt idx="181">
                  <c:v>44051</c:v>
                </c:pt>
                <c:pt idx="182">
                  <c:v>44050</c:v>
                </c:pt>
                <c:pt idx="183">
                  <c:v>44049</c:v>
                </c:pt>
                <c:pt idx="184">
                  <c:v>44048</c:v>
                </c:pt>
                <c:pt idx="185">
                  <c:v>44047</c:v>
                </c:pt>
                <c:pt idx="186">
                  <c:v>44046</c:v>
                </c:pt>
                <c:pt idx="187">
                  <c:v>44045</c:v>
                </c:pt>
                <c:pt idx="188">
                  <c:v>44044</c:v>
                </c:pt>
                <c:pt idx="189">
                  <c:v>44043</c:v>
                </c:pt>
                <c:pt idx="190">
                  <c:v>44042</c:v>
                </c:pt>
                <c:pt idx="191">
                  <c:v>44041</c:v>
                </c:pt>
                <c:pt idx="192">
                  <c:v>44040</c:v>
                </c:pt>
                <c:pt idx="193">
                  <c:v>44039</c:v>
                </c:pt>
                <c:pt idx="194">
                  <c:v>44038</c:v>
                </c:pt>
                <c:pt idx="195">
                  <c:v>44037</c:v>
                </c:pt>
                <c:pt idx="196">
                  <c:v>44036</c:v>
                </c:pt>
                <c:pt idx="197">
                  <c:v>44035</c:v>
                </c:pt>
                <c:pt idx="198">
                  <c:v>44034</c:v>
                </c:pt>
                <c:pt idx="199">
                  <c:v>44033</c:v>
                </c:pt>
                <c:pt idx="200">
                  <c:v>44032</c:v>
                </c:pt>
                <c:pt idx="201">
                  <c:v>44031</c:v>
                </c:pt>
                <c:pt idx="202">
                  <c:v>44030</c:v>
                </c:pt>
                <c:pt idx="203">
                  <c:v>44029</c:v>
                </c:pt>
                <c:pt idx="204">
                  <c:v>44028</c:v>
                </c:pt>
                <c:pt idx="205">
                  <c:v>44027</c:v>
                </c:pt>
                <c:pt idx="206">
                  <c:v>44026</c:v>
                </c:pt>
                <c:pt idx="207">
                  <c:v>44025</c:v>
                </c:pt>
                <c:pt idx="208">
                  <c:v>44024</c:v>
                </c:pt>
                <c:pt idx="209">
                  <c:v>44023</c:v>
                </c:pt>
                <c:pt idx="210">
                  <c:v>44022</c:v>
                </c:pt>
                <c:pt idx="211">
                  <c:v>44021</c:v>
                </c:pt>
                <c:pt idx="212">
                  <c:v>44020</c:v>
                </c:pt>
                <c:pt idx="213">
                  <c:v>44019</c:v>
                </c:pt>
                <c:pt idx="214">
                  <c:v>44018</c:v>
                </c:pt>
                <c:pt idx="215">
                  <c:v>44017</c:v>
                </c:pt>
                <c:pt idx="216">
                  <c:v>44016</c:v>
                </c:pt>
                <c:pt idx="217">
                  <c:v>44015</c:v>
                </c:pt>
                <c:pt idx="218">
                  <c:v>44014</c:v>
                </c:pt>
                <c:pt idx="219">
                  <c:v>44013</c:v>
                </c:pt>
                <c:pt idx="220">
                  <c:v>44012</c:v>
                </c:pt>
                <c:pt idx="221">
                  <c:v>44011</c:v>
                </c:pt>
                <c:pt idx="222">
                  <c:v>44010</c:v>
                </c:pt>
                <c:pt idx="223">
                  <c:v>44009</c:v>
                </c:pt>
                <c:pt idx="224">
                  <c:v>44008</c:v>
                </c:pt>
                <c:pt idx="225">
                  <c:v>44007</c:v>
                </c:pt>
                <c:pt idx="226">
                  <c:v>44006</c:v>
                </c:pt>
                <c:pt idx="227">
                  <c:v>44005</c:v>
                </c:pt>
                <c:pt idx="228">
                  <c:v>44004</c:v>
                </c:pt>
                <c:pt idx="229">
                  <c:v>44003</c:v>
                </c:pt>
                <c:pt idx="230">
                  <c:v>44002</c:v>
                </c:pt>
                <c:pt idx="231">
                  <c:v>44001</c:v>
                </c:pt>
                <c:pt idx="232">
                  <c:v>44000</c:v>
                </c:pt>
                <c:pt idx="233">
                  <c:v>43999</c:v>
                </c:pt>
                <c:pt idx="234">
                  <c:v>43998</c:v>
                </c:pt>
                <c:pt idx="235">
                  <c:v>43997</c:v>
                </c:pt>
                <c:pt idx="236">
                  <c:v>43996</c:v>
                </c:pt>
                <c:pt idx="237">
                  <c:v>43995</c:v>
                </c:pt>
                <c:pt idx="238">
                  <c:v>43994</c:v>
                </c:pt>
                <c:pt idx="239">
                  <c:v>43993</c:v>
                </c:pt>
                <c:pt idx="240">
                  <c:v>43992</c:v>
                </c:pt>
                <c:pt idx="241">
                  <c:v>43991</c:v>
                </c:pt>
                <c:pt idx="242">
                  <c:v>43990</c:v>
                </c:pt>
                <c:pt idx="243">
                  <c:v>43989</c:v>
                </c:pt>
                <c:pt idx="244">
                  <c:v>43988</c:v>
                </c:pt>
                <c:pt idx="245">
                  <c:v>43987</c:v>
                </c:pt>
                <c:pt idx="246">
                  <c:v>43986</c:v>
                </c:pt>
                <c:pt idx="247">
                  <c:v>43985</c:v>
                </c:pt>
                <c:pt idx="248">
                  <c:v>43984</c:v>
                </c:pt>
                <c:pt idx="249">
                  <c:v>43983</c:v>
                </c:pt>
                <c:pt idx="250">
                  <c:v>43982</c:v>
                </c:pt>
                <c:pt idx="251">
                  <c:v>43981</c:v>
                </c:pt>
                <c:pt idx="252">
                  <c:v>43980</c:v>
                </c:pt>
                <c:pt idx="253">
                  <c:v>43979</c:v>
                </c:pt>
                <c:pt idx="254">
                  <c:v>43978</c:v>
                </c:pt>
                <c:pt idx="255">
                  <c:v>43977</c:v>
                </c:pt>
                <c:pt idx="256">
                  <c:v>43976</c:v>
                </c:pt>
                <c:pt idx="257">
                  <c:v>43975</c:v>
                </c:pt>
                <c:pt idx="258">
                  <c:v>43974</c:v>
                </c:pt>
                <c:pt idx="259">
                  <c:v>43973</c:v>
                </c:pt>
                <c:pt idx="260">
                  <c:v>43972</c:v>
                </c:pt>
                <c:pt idx="261">
                  <c:v>43971</c:v>
                </c:pt>
                <c:pt idx="262">
                  <c:v>43970</c:v>
                </c:pt>
                <c:pt idx="263">
                  <c:v>43969</c:v>
                </c:pt>
                <c:pt idx="264">
                  <c:v>43968</c:v>
                </c:pt>
                <c:pt idx="265">
                  <c:v>43967</c:v>
                </c:pt>
                <c:pt idx="266">
                  <c:v>43966</c:v>
                </c:pt>
                <c:pt idx="267">
                  <c:v>43965</c:v>
                </c:pt>
                <c:pt idx="268">
                  <c:v>43964</c:v>
                </c:pt>
                <c:pt idx="269">
                  <c:v>43963</c:v>
                </c:pt>
                <c:pt idx="270">
                  <c:v>43962</c:v>
                </c:pt>
                <c:pt idx="271">
                  <c:v>43961</c:v>
                </c:pt>
                <c:pt idx="272">
                  <c:v>43960</c:v>
                </c:pt>
                <c:pt idx="273">
                  <c:v>43959</c:v>
                </c:pt>
                <c:pt idx="274">
                  <c:v>43958</c:v>
                </c:pt>
                <c:pt idx="275">
                  <c:v>43957</c:v>
                </c:pt>
                <c:pt idx="276">
                  <c:v>43956</c:v>
                </c:pt>
                <c:pt idx="277">
                  <c:v>43955</c:v>
                </c:pt>
                <c:pt idx="278">
                  <c:v>43954</c:v>
                </c:pt>
                <c:pt idx="279">
                  <c:v>43953</c:v>
                </c:pt>
                <c:pt idx="280">
                  <c:v>43952</c:v>
                </c:pt>
                <c:pt idx="281">
                  <c:v>43951</c:v>
                </c:pt>
                <c:pt idx="282">
                  <c:v>43950</c:v>
                </c:pt>
                <c:pt idx="283">
                  <c:v>43949</c:v>
                </c:pt>
                <c:pt idx="284">
                  <c:v>43948</c:v>
                </c:pt>
                <c:pt idx="285">
                  <c:v>43947</c:v>
                </c:pt>
              </c:numCache>
            </c:numRef>
          </c:cat>
          <c:val>
            <c:numRef>
              <c:f>A!$AA$11:$AA$296</c:f>
              <c:numCache>
                <c:formatCode>#,##0</c:formatCode>
                <c:ptCount val="286"/>
                <c:pt idx="0">
                  <c:v>2274068</c:v>
                </c:pt>
                <c:pt idx="1">
                  <c:v>2274068</c:v>
                </c:pt>
                <c:pt idx="2">
                  <c:v>2274068</c:v>
                </c:pt>
                <c:pt idx="3">
                  <c:v>2274068</c:v>
                </c:pt>
                <c:pt idx="4">
                  <c:v>2274068</c:v>
                </c:pt>
                <c:pt idx="5">
                  <c:v>2274068</c:v>
                </c:pt>
                <c:pt idx="6">
                  <c:v>2274068</c:v>
                </c:pt>
                <c:pt idx="7">
                  <c:v>2274068</c:v>
                </c:pt>
                <c:pt idx="8">
                  <c:v>2274068</c:v>
                </c:pt>
                <c:pt idx="9">
                  <c:v>2274068</c:v>
                </c:pt>
                <c:pt idx="10">
                  <c:v>2274068</c:v>
                </c:pt>
                <c:pt idx="11">
                  <c:v>2274068</c:v>
                </c:pt>
                <c:pt idx="12">
                  <c:v>2213056</c:v>
                </c:pt>
                <c:pt idx="13">
                  <c:v>2213056</c:v>
                </c:pt>
                <c:pt idx="14">
                  <c:v>2213056</c:v>
                </c:pt>
                <c:pt idx="15">
                  <c:v>2213056</c:v>
                </c:pt>
                <c:pt idx="16">
                  <c:v>2213056</c:v>
                </c:pt>
                <c:pt idx="17">
                  <c:v>2213056</c:v>
                </c:pt>
                <c:pt idx="18">
                  <c:v>2213056</c:v>
                </c:pt>
                <c:pt idx="19">
                  <c:v>2368800</c:v>
                </c:pt>
                <c:pt idx="20">
                  <c:v>2368800</c:v>
                </c:pt>
                <c:pt idx="21">
                  <c:v>2368800</c:v>
                </c:pt>
                <c:pt idx="22">
                  <c:v>2368800</c:v>
                </c:pt>
                <c:pt idx="23">
                  <c:v>2368800</c:v>
                </c:pt>
                <c:pt idx="24">
                  <c:v>2368800</c:v>
                </c:pt>
                <c:pt idx="25">
                  <c:v>2368800</c:v>
                </c:pt>
                <c:pt idx="26">
                  <c:v>2455054</c:v>
                </c:pt>
                <c:pt idx="27">
                  <c:v>2455054</c:v>
                </c:pt>
                <c:pt idx="28">
                  <c:v>2455054</c:v>
                </c:pt>
                <c:pt idx="29">
                  <c:v>2455054</c:v>
                </c:pt>
                <c:pt idx="30">
                  <c:v>2455054</c:v>
                </c:pt>
                <c:pt idx="31">
                  <c:v>2455054</c:v>
                </c:pt>
                <c:pt idx="32">
                  <c:v>2455054</c:v>
                </c:pt>
                <c:pt idx="33">
                  <c:v>1689004</c:v>
                </c:pt>
                <c:pt idx="34">
                  <c:v>1689004</c:v>
                </c:pt>
                <c:pt idx="35">
                  <c:v>1689004</c:v>
                </c:pt>
                <c:pt idx="36">
                  <c:v>1689004</c:v>
                </c:pt>
                <c:pt idx="37">
                  <c:v>1689004</c:v>
                </c:pt>
                <c:pt idx="38">
                  <c:v>1689004</c:v>
                </c:pt>
                <c:pt idx="39">
                  <c:v>1689004</c:v>
                </c:pt>
                <c:pt idx="40">
                  <c:v>2182964</c:v>
                </c:pt>
                <c:pt idx="41">
                  <c:v>2182964</c:v>
                </c:pt>
                <c:pt idx="42">
                  <c:v>2182964</c:v>
                </c:pt>
                <c:pt idx="43">
                  <c:v>2182964</c:v>
                </c:pt>
                <c:pt idx="44">
                  <c:v>2182964</c:v>
                </c:pt>
                <c:pt idx="45">
                  <c:v>2182964</c:v>
                </c:pt>
                <c:pt idx="46">
                  <c:v>2182964</c:v>
                </c:pt>
                <c:pt idx="47">
                  <c:v>3344066.0000000005</c:v>
                </c:pt>
                <c:pt idx="48">
                  <c:v>3344066.0000000005</c:v>
                </c:pt>
                <c:pt idx="49">
                  <c:v>3344066.0000000005</c:v>
                </c:pt>
                <c:pt idx="50">
                  <c:v>3344066.0000000005</c:v>
                </c:pt>
                <c:pt idx="51">
                  <c:v>3344066.0000000005</c:v>
                </c:pt>
                <c:pt idx="52">
                  <c:v>3344066.0000000005</c:v>
                </c:pt>
                <c:pt idx="53">
                  <c:v>3344066.0000000005</c:v>
                </c:pt>
                <c:pt idx="54">
                  <c:v>3032076</c:v>
                </c:pt>
                <c:pt idx="55">
                  <c:v>3032076</c:v>
                </c:pt>
                <c:pt idx="56">
                  <c:v>3032076</c:v>
                </c:pt>
                <c:pt idx="57">
                  <c:v>3032076</c:v>
                </c:pt>
                <c:pt idx="58">
                  <c:v>3032076</c:v>
                </c:pt>
                <c:pt idx="59">
                  <c:v>3032076</c:v>
                </c:pt>
                <c:pt idx="60">
                  <c:v>3032076</c:v>
                </c:pt>
                <c:pt idx="61">
                  <c:v>2791580</c:v>
                </c:pt>
                <c:pt idx="62">
                  <c:v>2791580</c:v>
                </c:pt>
                <c:pt idx="63">
                  <c:v>2791580</c:v>
                </c:pt>
                <c:pt idx="64">
                  <c:v>2791580</c:v>
                </c:pt>
                <c:pt idx="65">
                  <c:v>2791580</c:v>
                </c:pt>
                <c:pt idx="66">
                  <c:v>2791580</c:v>
                </c:pt>
                <c:pt idx="67">
                  <c:v>2791580</c:v>
                </c:pt>
                <c:pt idx="68">
                  <c:v>2762234</c:v>
                </c:pt>
                <c:pt idx="69">
                  <c:v>2762234</c:v>
                </c:pt>
                <c:pt idx="70">
                  <c:v>2762234</c:v>
                </c:pt>
                <c:pt idx="71">
                  <c:v>2762234</c:v>
                </c:pt>
                <c:pt idx="72">
                  <c:v>2762234</c:v>
                </c:pt>
                <c:pt idx="73">
                  <c:v>2762234</c:v>
                </c:pt>
                <c:pt idx="74">
                  <c:v>2762234</c:v>
                </c:pt>
                <c:pt idx="75">
                  <c:v>3163476</c:v>
                </c:pt>
                <c:pt idx="76">
                  <c:v>3163476</c:v>
                </c:pt>
                <c:pt idx="77">
                  <c:v>3163476</c:v>
                </c:pt>
                <c:pt idx="78">
                  <c:v>3163476</c:v>
                </c:pt>
                <c:pt idx="79">
                  <c:v>3163476</c:v>
                </c:pt>
                <c:pt idx="80">
                  <c:v>3163476</c:v>
                </c:pt>
                <c:pt idx="81">
                  <c:v>3163476</c:v>
                </c:pt>
                <c:pt idx="82">
                  <c:v>3192174.0000000005</c:v>
                </c:pt>
                <c:pt idx="83">
                  <c:v>3192174.0000000005</c:v>
                </c:pt>
                <c:pt idx="84">
                  <c:v>3192174.0000000005</c:v>
                </c:pt>
                <c:pt idx="85">
                  <c:v>3192174.0000000005</c:v>
                </c:pt>
                <c:pt idx="86">
                  <c:v>3192174.0000000005</c:v>
                </c:pt>
                <c:pt idx="87">
                  <c:v>3192174.0000000005</c:v>
                </c:pt>
                <c:pt idx="88">
                  <c:v>3192174.0000000005</c:v>
                </c:pt>
                <c:pt idx="89">
                  <c:v>3081890</c:v>
                </c:pt>
                <c:pt idx="90">
                  <c:v>3081890</c:v>
                </c:pt>
                <c:pt idx="91">
                  <c:v>3081890</c:v>
                </c:pt>
                <c:pt idx="92">
                  <c:v>3081890</c:v>
                </c:pt>
                <c:pt idx="93">
                  <c:v>3081890</c:v>
                </c:pt>
                <c:pt idx="94">
                  <c:v>3081890</c:v>
                </c:pt>
                <c:pt idx="95">
                  <c:v>3081890</c:v>
                </c:pt>
                <c:pt idx="96">
                  <c:v>3186556</c:v>
                </c:pt>
                <c:pt idx="97">
                  <c:v>3186556</c:v>
                </c:pt>
                <c:pt idx="98">
                  <c:v>3186556</c:v>
                </c:pt>
                <c:pt idx="99">
                  <c:v>3186556</c:v>
                </c:pt>
                <c:pt idx="100">
                  <c:v>3186556</c:v>
                </c:pt>
                <c:pt idx="101">
                  <c:v>3186556</c:v>
                </c:pt>
                <c:pt idx="102">
                  <c:v>3186556</c:v>
                </c:pt>
                <c:pt idx="103">
                  <c:v>2850646</c:v>
                </c:pt>
                <c:pt idx="104">
                  <c:v>2850646</c:v>
                </c:pt>
                <c:pt idx="105">
                  <c:v>2850646</c:v>
                </c:pt>
                <c:pt idx="106">
                  <c:v>2850646</c:v>
                </c:pt>
                <c:pt idx="107">
                  <c:v>2850646</c:v>
                </c:pt>
                <c:pt idx="108">
                  <c:v>2850646</c:v>
                </c:pt>
                <c:pt idx="109">
                  <c:v>2850646</c:v>
                </c:pt>
                <c:pt idx="110">
                  <c:v>2527432</c:v>
                </c:pt>
                <c:pt idx="111">
                  <c:v>2527432</c:v>
                </c:pt>
                <c:pt idx="112">
                  <c:v>2527432</c:v>
                </c:pt>
                <c:pt idx="113">
                  <c:v>2527432</c:v>
                </c:pt>
                <c:pt idx="114">
                  <c:v>2527432</c:v>
                </c:pt>
                <c:pt idx="115">
                  <c:v>2527432</c:v>
                </c:pt>
                <c:pt idx="116">
                  <c:v>2527432</c:v>
                </c:pt>
                <c:pt idx="117">
                  <c:v>2376675.9999999995</c:v>
                </c:pt>
                <c:pt idx="118">
                  <c:v>2376675.9999999995</c:v>
                </c:pt>
                <c:pt idx="119">
                  <c:v>2376675.9999999995</c:v>
                </c:pt>
                <c:pt idx="120">
                  <c:v>2376675.9999999995</c:v>
                </c:pt>
                <c:pt idx="121">
                  <c:v>2376675.9999999995</c:v>
                </c:pt>
                <c:pt idx="122">
                  <c:v>2376675.9999999995</c:v>
                </c:pt>
                <c:pt idx="123">
                  <c:v>2376675.9999999995</c:v>
                </c:pt>
                <c:pt idx="124">
                  <c:v>2225934</c:v>
                </c:pt>
                <c:pt idx="125">
                  <c:v>2225934</c:v>
                </c:pt>
                <c:pt idx="126">
                  <c:v>2225934</c:v>
                </c:pt>
                <c:pt idx="127">
                  <c:v>2225934</c:v>
                </c:pt>
                <c:pt idx="128">
                  <c:v>2225934</c:v>
                </c:pt>
                <c:pt idx="129">
                  <c:v>2225934</c:v>
                </c:pt>
                <c:pt idx="130">
                  <c:v>2225934</c:v>
                </c:pt>
                <c:pt idx="131">
                  <c:v>2311990</c:v>
                </c:pt>
                <c:pt idx="132">
                  <c:v>2311990</c:v>
                </c:pt>
                <c:pt idx="133">
                  <c:v>2311990</c:v>
                </c:pt>
                <c:pt idx="134">
                  <c:v>2311990</c:v>
                </c:pt>
                <c:pt idx="135">
                  <c:v>2311990</c:v>
                </c:pt>
                <c:pt idx="136">
                  <c:v>2311990</c:v>
                </c:pt>
                <c:pt idx="137">
                  <c:v>2311990</c:v>
                </c:pt>
                <c:pt idx="138">
                  <c:v>2293130</c:v>
                </c:pt>
                <c:pt idx="139">
                  <c:v>2293130</c:v>
                </c:pt>
                <c:pt idx="140">
                  <c:v>2293130</c:v>
                </c:pt>
                <c:pt idx="141">
                  <c:v>2293130</c:v>
                </c:pt>
                <c:pt idx="142">
                  <c:v>2293130</c:v>
                </c:pt>
                <c:pt idx="143">
                  <c:v>2293130</c:v>
                </c:pt>
                <c:pt idx="144">
                  <c:v>2293130</c:v>
                </c:pt>
                <c:pt idx="145">
                  <c:v>2329864</c:v>
                </c:pt>
                <c:pt idx="146">
                  <c:v>2329864</c:v>
                </c:pt>
                <c:pt idx="147">
                  <c:v>2329864</c:v>
                </c:pt>
                <c:pt idx="148">
                  <c:v>2329864</c:v>
                </c:pt>
                <c:pt idx="149">
                  <c:v>2329864</c:v>
                </c:pt>
                <c:pt idx="150">
                  <c:v>2329864</c:v>
                </c:pt>
                <c:pt idx="151">
                  <c:v>2329864</c:v>
                </c:pt>
                <c:pt idx="152">
                  <c:v>2144632</c:v>
                </c:pt>
                <c:pt idx="153">
                  <c:v>2144632</c:v>
                </c:pt>
                <c:pt idx="154">
                  <c:v>2144632</c:v>
                </c:pt>
                <c:pt idx="155">
                  <c:v>2144632</c:v>
                </c:pt>
                <c:pt idx="156">
                  <c:v>2144632</c:v>
                </c:pt>
                <c:pt idx="157">
                  <c:v>2144632</c:v>
                </c:pt>
                <c:pt idx="158">
                  <c:v>2144632</c:v>
                </c:pt>
                <c:pt idx="159">
                  <c:v>2241766.0000000005</c:v>
                </c:pt>
                <c:pt idx="160">
                  <c:v>2241766.0000000005</c:v>
                </c:pt>
                <c:pt idx="161">
                  <c:v>2241766.0000000005</c:v>
                </c:pt>
                <c:pt idx="162">
                  <c:v>2241766.0000000005</c:v>
                </c:pt>
                <c:pt idx="163">
                  <c:v>2241766.0000000005</c:v>
                </c:pt>
                <c:pt idx="164">
                  <c:v>2241766.0000000005</c:v>
                </c:pt>
                <c:pt idx="165">
                  <c:v>2241766.0000000005</c:v>
                </c:pt>
                <c:pt idx="166">
                  <c:v>2016208</c:v>
                </c:pt>
                <c:pt idx="167">
                  <c:v>2016208</c:v>
                </c:pt>
                <c:pt idx="168">
                  <c:v>2016208</c:v>
                </c:pt>
                <c:pt idx="169">
                  <c:v>2016208</c:v>
                </c:pt>
                <c:pt idx="170">
                  <c:v>2016208</c:v>
                </c:pt>
                <c:pt idx="171">
                  <c:v>2016208</c:v>
                </c:pt>
                <c:pt idx="172">
                  <c:v>2016208</c:v>
                </c:pt>
                <c:pt idx="173">
                  <c:v>1754328.0000000002</c:v>
                </c:pt>
                <c:pt idx="174">
                  <c:v>1754328.0000000002</c:v>
                </c:pt>
                <c:pt idx="175">
                  <c:v>1754328.0000000002</c:v>
                </c:pt>
                <c:pt idx="176">
                  <c:v>1754328.0000000002</c:v>
                </c:pt>
                <c:pt idx="177">
                  <c:v>1754328.0000000002</c:v>
                </c:pt>
                <c:pt idx="178">
                  <c:v>1754328.0000000002</c:v>
                </c:pt>
                <c:pt idx="179">
                  <c:v>1754328.0000000002</c:v>
                </c:pt>
                <c:pt idx="180">
                  <c:v>1433536.0000000002</c:v>
                </c:pt>
                <c:pt idx="181">
                  <c:v>1433536.0000000002</c:v>
                </c:pt>
                <c:pt idx="182">
                  <c:v>1433536.0000000002</c:v>
                </c:pt>
                <c:pt idx="183">
                  <c:v>1433536.0000000002</c:v>
                </c:pt>
                <c:pt idx="184">
                  <c:v>1433536.0000000002</c:v>
                </c:pt>
                <c:pt idx="185">
                  <c:v>1433536.0000000002</c:v>
                </c:pt>
                <c:pt idx="186">
                  <c:v>1433536.0000000002</c:v>
                </c:pt>
                <c:pt idx="187">
                  <c:v>1173240</c:v>
                </c:pt>
                <c:pt idx="188">
                  <c:v>1173240</c:v>
                </c:pt>
                <c:pt idx="189">
                  <c:v>1173240</c:v>
                </c:pt>
                <c:pt idx="190">
                  <c:v>1173240</c:v>
                </c:pt>
                <c:pt idx="191">
                  <c:v>1173240</c:v>
                </c:pt>
                <c:pt idx="192">
                  <c:v>1173240</c:v>
                </c:pt>
                <c:pt idx="193">
                  <c:v>1173240</c:v>
                </c:pt>
                <c:pt idx="194">
                  <c:v>1149766</c:v>
                </c:pt>
                <c:pt idx="195">
                  <c:v>1149766</c:v>
                </c:pt>
                <c:pt idx="196">
                  <c:v>1149766</c:v>
                </c:pt>
                <c:pt idx="197">
                  <c:v>1149766</c:v>
                </c:pt>
                <c:pt idx="198">
                  <c:v>1149766</c:v>
                </c:pt>
                <c:pt idx="199">
                  <c:v>1149766</c:v>
                </c:pt>
                <c:pt idx="200">
                  <c:v>1149766</c:v>
                </c:pt>
                <c:pt idx="201">
                  <c:v>1077402</c:v>
                </c:pt>
                <c:pt idx="202">
                  <c:v>1077402</c:v>
                </c:pt>
                <c:pt idx="203">
                  <c:v>1077402</c:v>
                </c:pt>
                <c:pt idx="204">
                  <c:v>1077402</c:v>
                </c:pt>
                <c:pt idx="205">
                  <c:v>1077402</c:v>
                </c:pt>
                <c:pt idx="206">
                  <c:v>1077402</c:v>
                </c:pt>
                <c:pt idx="207">
                  <c:v>1077402</c:v>
                </c:pt>
                <c:pt idx="208">
                  <c:v>1021102</c:v>
                </c:pt>
                <c:pt idx="209">
                  <c:v>1021102</c:v>
                </c:pt>
                <c:pt idx="210">
                  <c:v>1021102</c:v>
                </c:pt>
                <c:pt idx="211">
                  <c:v>1021102</c:v>
                </c:pt>
                <c:pt idx="212">
                  <c:v>1021102</c:v>
                </c:pt>
                <c:pt idx="213">
                  <c:v>1021102</c:v>
                </c:pt>
                <c:pt idx="214">
                  <c:v>1021102</c:v>
                </c:pt>
                <c:pt idx="215">
                  <c:v>1015326</c:v>
                </c:pt>
                <c:pt idx="216">
                  <c:v>1015326</c:v>
                </c:pt>
                <c:pt idx="217">
                  <c:v>1015326</c:v>
                </c:pt>
                <c:pt idx="218">
                  <c:v>1015326</c:v>
                </c:pt>
                <c:pt idx="219">
                  <c:v>1015326</c:v>
                </c:pt>
                <c:pt idx="220">
                  <c:v>1015326</c:v>
                </c:pt>
                <c:pt idx="221">
                  <c:v>1015326</c:v>
                </c:pt>
                <c:pt idx="222">
                  <c:v>934826.00000000012</c:v>
                </c:pt>
                <c:pt idx="223">
                  <c:v>934826.00000000012</c:v>
                </c:pt>
                <c:pt idx="224">
                  <c:v>934826.00000000012</c:v>
                </c:pt>
                <c:pt idx="225">
                  <c:v>934826.00000000012</c:v>
                </c:pt>
                <c:pt idx="226">
                  <c:v>934826.00000000012</c:v>
                </c:pt>
                <c:pt idx="227">
                  <c:v>934826.00000000012</c:v>
                </c:pt>
                <c:pt idx="228">
                  <c:v>934826.00000000012</c:v>
                </c:pt>
                <c:pt idx="229">
                  <c:v>776374</c:v>
                </c:pt>
                <c:pt idx="230">
                  <c:v>776374</c:v>
                </c:pt>
                <c:pt idx="231">
                  <c:v>776374</c:v>
                </c:pt>
                <c:pt idx="232">
                  <c:v>776374</c:v>
                </c:pt>
                <c:pt idx="233">
                  <c:v>776374</c:v>
                </c:pt>
                <c:pt idx="234">
                  <c:v>776374</c:v>
                </c:pt>
                <c:pt idx="235">
                  <c:v>776374</c:v>
                </c:pt>
                <c:pt idx="236">
                  <c:v>654392.00000000012</c:v>
                </c:pt>
                <c:pt idx="237">
                  <c:v>654392.00000000012</c:v>
                </c:pt>
                <c:pt idx="238">
                  <c:v>654392.00000000012</c:v>
                </c:pt>
                <c:pt idx="239">
                  <c:v>654392.00000000012</c:v>
                </c:pt>
                <c:pt idx="240">
                  <c:v>654392.00000000012</c:v>
                </c:pt>
                <c:pt idx="241">
                  <c:v>654392.00000000012</c:v>
                </c:pt>
                <c:pt idx="242">
                  <c:v>654392.00000000012</c:v>
                </c:pt>
                <c:pt idx="243">
                  <c:v>681971.99999999988</c:v>
                </c:pt>
                <c:pt idx="244">
                  <c:v>681971.99999999988</c:v>
                </c:pt>
                <c:pt idx="245">
                  <c:v>681971.99999999988</c:v>
                </c:pt>
                <c:pt idx="246">
                  <c:v>681971.99999999988</c:v>
                </c:pt>
                <c:pt idx="247">
                  <c:v>681971.99999999988</c:v>
                </c:pt>
                <c:pt idx="248">
                  <c:v>681971.99999999988</c:v>
                </c:pt>
                <c:pt idx="249">
                  <c:v>681971.99999999988</c:v>
                </c:pt>
                <c:pt idx="250">
                  <c:v>810538</c:v>
                </c:pt>
                <c:pt idx="251">
                  <c:v>810538</c:v>
                </c:pt>
                <c:pt idx="252">
                  <c:v>810538</c:v>
                </c:pt>
                <c:pt idx="253">
                  <c:v>810538</c:v>
                </c:pt>
                <c:pt idx="254">
                  <c:v>810538</c:v>
                </c:pt>
                <c:pt idx="255">
                  <c:v>810538</c:v>
                </c:pt>
                <c:pt idx="256">
                  <c:v>810538</c:v>
                </c:pt>
                <c:pt idx="257">
                  <c:v>706934</c:v>
                </c:pt>
                <c:pt idx="258">
                  <c:v>706934</c:v>
                </c:pt>
                <c:pt idx="259">
                  <c:v>706934</c:v>
                </c:pt>
                <c:pt idx="260">
                  <c:v>706934</c:v>
                </c:pt>
                <c:pt idx="261">
                  <c:v>706934</c:v>
                </c:pt>
                <c:pt idx="262">
                  <c:v>706934</c:v>
                </c:pt>
                <c:pt idx="263">
                  <c:v>706934</c:v>
                </c:pt>
                <c:pt idx="264">
                  <c:v>865332</c:v>
                </c:pt>
                <c:pt idx="265">
                  <c:v>865332</c:v>
                </c:pt>
                <c:pt idx="266">
                  <c:v>865332</c:v>
                </c:pt>
                <c:pt idx="267">
                  <c:v>865332</c:v>
                </c:pt>
                <c:pt idx="268">
                  <c:v>865332</c:v>
                </c:pt>
                <c:pt idx="269">
                  <c:v>865332</c:v>
                </c:pt>
                <c:pt idx="270">
                  <c:v>865332</c:v>
                </c:pt>
                <c:pt idx="271">
                  <c:v>807750.00000000012</c:v>
                </c:pt>
                <c:pt idx="272">
                  <c:v>807750.00000000012</c:v>
                </c:pt>
                <c:pt idx="273">
                  <c:v>807750.00000000012</c:v>
                </c:pt>
                <c:pt idx="274">
                  <c:v>807750.00000000012</c:v>
                </c:pt>
                <c:pt idx="275">
                  <c:v>807750.00000000012</c:v>
                </c:pt>
                <c:pt idx="276">
                  <c:v>807750.00000000012</c:v>
                </c:pt>
                <c:pt idx="277">
                  <c:v>807750.00000000012</c:v>
                </c:pt>
                <c:pt idx="278">
                  <c:v>653575.99999999988</c:v>
                </c:pt>
                <c:pt idx="279">
                  <c:v>653575.99999999988</c:v>
                </c:pt>
                <c:pt idx="280">
                  <c:v>653575.99999999988</c:v>
                </c:pt>
                <c:pt idx="281">
                  <c:v>653575.99999999988</c:v>
                </c:pt>
                <c:pt idx="282">
                  <c:v>653575.99999999988</c:v>
                </c:pt>
                <c:pt idx="283">
                  <c:v>653575.99999999988</c:v>
                </c:pt>
                <c:pt idx="284">
                  <c:v>653575.99999999988</c:v>
                </c:pt>
                <c:pt idx="285">
                  <c:v>807750.00000000012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4E-4D43-A8D9-2C8D164B0F8E}"/>
            </c:ext>
          </c:extLst>
        </c:ser>
        <c:ser>
          <c:idx val="1"/>
          <c:order val="1"/>
          <c:tx>
            <c:strRef>
              <c:f>A!$AB$10</c:f>
              <c:strCache>
                <c:ptCount val="1"/>
                <c:pt idx="0">
                  <c:v>Hellfeld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A!$Z$11:$Z$296</c:f>
              <c:numCache>
                <c:formatCode>dd/mm/yy;@</c:formatCode>
                <c:ptCount val="286"/>
                <c:pt idx="0">
                  <c:v>44232</c:v>
                </c:pt>
                <c:pt idx="1">
                  <c:v>44231</c:v>
                </c:pt>
                <c:pt idx="2">
                  <c:v>44230</c:v>
                </c:pt>
                <c:pt idx="3">
                  <c:v>44229</c:v>
                </c:pt>
                <c:pt idx="4">
                  <c:v>44228</c:v>
                </c:pt>
                <c:pt idx="5">
                  <c:v>44227</c:v>
                </c:pt>
                <c:pt idx="6">
                  <c:v>44226</c:v>
                </c:pt>
                <c:pt idx="7">
                  <c:v>44225</c:v>
                </c:pt>
                <c:pt idx="8">
                  <c:v>44224</c:v>
                </c:pt>
                <c:pt idx="9">
                  <c:v>44223</c:v>
                </c:pt>
                <c:pt idx="10">
                  <c:v>44222</c:v>
                </c:pt>
                <c:pt idx="11">
                  <c:v>44221</c:v>
                </c:pt>
                <c:pt idx="12">
                  <c:v>44220</c:v>
                </c:pt>
                <c:pt idx="13">
                  <c:v>44219</c:v>
                </c:pt>
                <c:pt idx="14">
                  <c:v>44218</c:v>
                </c:pt>
                <c:pt idx="15">
                  <c:v>44217</c:v>
                </c:pt>
                <c:pt idx="16">
                  <c:v>44216</c:v>
                </c:pt>
                <c:pt idx="17">
                  <c:v>44215</c:v>
                </c:pt>
                <c:pt idx="18">
                  <c:v>44214</c:v>
                </c:pt>
                <c:pt idx="19">
                  <c:v>44213</c:v>
                </c:pt>
                <c:pt idx="20">
                  <c:v>44212</c:v>
                </c:pt>
                <c:pt idx="21">
                  <c:v>44211</c:v>
                </c:pt>
                <c:pt idx="22">
                  <c:v>44210</c:v>
                </c:pt>
                <c:pt idx="23">
                  <c:v>44209</c:v>
                </c:pt>
                <c:pt idx="24">
                  <c:v>44208</c:v>
                </c:pt>
                <c:pt idx="25">
                  <c:v>44207</c:v>
                </c:pt>
                <c:pt idx="26">
                  <c:v>44206</c:v>
                </c:pt>
                <c:pt idx="27">
                  <c:v>44205</c:v>
                </c:pt>
                <c:pt idx="28">
                  <c:v>44204</c:v>
                </c:pt>
                <c:pt idx="29">
                  <c:v>44203</c:v>
                </c:pt>
                <c:pt idx="30">
                  <c:v>44202</c:v>
                </c:pt>
                <c:pt idx="31">
                  <c:v>44201</c:v>
                </c:pt>
                <c:pt idx="32">
                  <c:v>44200</c:v>
                </c:pt>
                <c:pt idx="33">
                  <c:v>44199</c:v>
                </c:pt>
                <c:pt idx="34">
                  <c:v>44198</c:v>
                </c:pt>
                <c:pt idx="35">
                  <c:v>44197</c:v>
                </c:pt>
                <c:pt idx="36">
                  <c:v>44196</c:v>
                </c:pt>
                <c:pt idx="37">
                  <c:v>44195</c:v>
                </c:pt>
                <c:pt idx="38">
                  <c:v>44194</c:v>
                </c:pt>
                <c:pt idx="39">
                  <c:v>44193</c:v>
                </c:pt>
                <c:pt idx="40">
                  <c:v>44192</c:v>
                </c:pt>
                <c:pt idx="41">
                  <c:v>44191</c:v>
                </c:pt>
                <c:pt idx="42">
                  <c:v>44190</c:v>
                </c:pt>
                <c:pt idx="43">
                  <c:v>44189</c:v>
                </c:pt>
                <c:pt idx="44">
                  <c:v>44188</c:v>
                </c:pt>
                <c:pt idx="45">
                  <c:v>44187</c:v>
                </c:pt>
                <c:pt idx="46">
                  <c:v>44186</c:v>
                </c:pt>
                <c:pt idx="47">
                  <c:v>44185</c:v>
                </c:pt>
                <c:pt idx="48">
                  <c:v>44184</c:v>
                </c:pt>
                <c:pt idx="49">
                  <c:v>44183</c:v>
                </c:pt>
                <c:pt idx="50">
                  <c:v>44182</c:v>
                </c:pt>
                <c:pt idx="51">
                  <c:v>44181</c:v>
                </c:pt>
                <c:pt idx="52">
                  <c:v>44180</c:v>
                </c:pt>
                <c:pt idx="53">
                  <c:v>44179</c:v>
                </c:pt>
                <c:pt idx="54">
                  <c:v>44178</c:v>
                </c:pt>
                <c:pt idx="55">
                  <c:v>44177</c:v>
                </c:pt>
                <c:pt idx="56">
                  <c:v>44176</c:v>
                </c:pt>
                <c:pt idx="57">
                  <c:v>44175</c:v>
                </c:pt>
                <c:pt idx="58">
                  <c:v>44174</c:v>
                </c:pt>
                <c:pt idx="59">
                  <c:v>44173</c:v>
                </c:pt>
                <c:pt idx="60">
                  <c:v>44172</c:v>
                </c:pt>
                <c:pt idx="61">
                  <c:v>44171</c:v>
                </c:pt>
                <c:pt idx="62">
                  <c:v>44170</c:v>
                </c:pt>
                <c:pt idx="63">
                  <c:v>44169</c:v>
                </c:pt>
                <c:pt idx="64">
                  <c:v>44168</c:v>
                </c:pt>
                <c:pt idx="65">
                  <c:v>44167</c:v>
                </c:pt>
                <c:pt idx="66">
                  <c:v>44166</c:v>
                </c:pt>
                <c:pt idx="67">
                  <c:v>44165</c:v>
                </c:pt>
                <c:pt idx="68">
                  <c:v>44164</c:v>
                </c:pt>
                <c:pt idx="69">
                  <c:v>44163</c:v>
                </c:pt>
                <c:pt idx="70">
                  <c:v>44162</c:v>
                </c:pt>
                <c:pt idx="71">
                  <c:v>44161</c:v>
                </c:pt>
                <c:pt idx="72">
                  <c:v>44160</c:v>
                </c:pt>
                <c:pt idx="73">
                  <c:v>44159</c:v>
                </c:pt>
                <c:pt idx="74">
                  <c:v>44158</c:v>
                </c:pt>
                <c:pt idx="75">
                  <c:v>44157</c:v>
                </c:pt>
                <c:pt idx="76">
                  <c:v>44156</c:v>
                </c:pt>
                <c:pt idx="77">
                  <c:v>44155</c:v>
                </c:pt>
                <c:pt idx="78">
                  <c:v>44154</c:v>
                </c:pt>
                <c:pt idx="79">
                  <c:v>44153</c:v>
                </c:pt>
                <c:pt idx="80">
                  <c:v>44152</c:v>
                </c:pt>
                <c:pt idx="81">
                  <c:v>44151</c:v>
                </c:pt>
                <c:pt idx="82">
                  <c:v>44150</c:v>
                </c:pt>
                <c:pt idx="83">
                  <c:v>44149</c:v>
                </c:pt>
                <c:pt idx="84">
                  <c:v>44148</c:v>
                </c:pt>
                <c:pt idx="85">
                  <c:v>44147</c:v>
                </c:pt>
                <c:pt idx="86">
                  <c:v>44146</c:v>
                </c:pt>
                <c:pt idx="87">
                  <c:v>44145</c:v>
                </c:pt>
                <c:pt idx="88">
                  <c:v>44144</c:v>
                </c:pt>
                <c:pt idx="89">
                  <c:v>44143</c:v>
                </c:pt>
                <c:pt idx="90">
                  <c:v>44142</c:v>
                </c:pt>
                <c:pt idx="91">
                  <c:v>44141</c:v>
                </c:pt>
                <c:pt idx="92">
                  <c:v>44140</c:v>
                </c:pt>
                <c:pt idx="93">
                  <c:v>44139</c:v>
                </c:pt>
                <c:pt idx="94">
                  <c:v>44138</c:v>
                </c:pt>
                <c:pt idx="95">
                  <c:v>44137</c:v>
                </c:pt>
                <c:pt idx="96">
                  <c:v>44136</c:v>
                </c:pt>
                <c:pt idx="97">
                  <c:v>44135</c:v>
                </c:pt>
                <c:pt idx="98">
                  <c:v>44134</c:v>
                </c:pt>
                <c:pt idx="99">
                  <c:v>44133</c:v>
                </c:pt>
                <c:pt idx="100">
                  <c:v>44132</c:v>
                </c:pt>
                <c:pt idx="101">
                  <c:v>44131</c:v>
                </c:pt>
                <c:pt idx="102">
                  <c:v>44130</c:v>
                </c:pt>
                <c:pt idx="103">
                  <c:v>44129</c:v>
                </c:pt>
                <c:pt idx="104">
                  <c:v>44128</c:v>
                </c:pt>
                <c:pt idx="105">
                  <c:v>44127</c:v>
                </c:pt>
                <c:pt idx="106">
                  <c:v>44126</c:v>
                </c:pt>
                <c:pt idx="107">
                  <c:v>44125</c:v>
                </c:pt>
                <c:pt idx="108">
                  <c:v>44124</c:v>
                </c:pt>
                <c:pt idx="109">
                  <c:v>44123</c:v>
                </c:pt>
                <c:pt idx="110">
                  <c:v>44122</c:v>
                </c:pt>
                <c:pt idx="111">
                  <c:v>44121</c:v>
                </c:pt>
                <c:pt idx="112">
                  <c:v>44120</c:v>
                </c:pt>
                <c:pt idx="113">
                  <c:v>44119</c:v>
                </c:pt>
                <c:pt idx="114">
                  <c:v>44118</c:v>
                </c:pt>
                <c:pt idx="115">
                  <c:v>44117</c:v>
                </c:pt>
                <c:pt idx="116">
                  <c:v>44116</c:v>
                </c:pt>
                <c:pt idx="117">
                  <c:v>44115</c:v>
                </c:pt>
                <c:pt idx="118">
                  <c:v>44114</c:v>
                </c:pt>
                <c:pt idx="119">
                  <c:v>44113</c:v>
                </c:pt>
                <c:pt idx="120">
                  <c:v>44112</c:v>
                </c:pt>
                <c:pt idx="121">
                  <c:v>44111</c:v>
                </c:pt>
                <c:pt idx="122">
                  <c:v>44110</c:v>
                </c:pt>
                <c:pt idx="123">
                  <c:v>44109</c:v>
                </c:pt>
                <c:pt idx="124">
                  <c:v>44108</c:v>
                </c:pt>
                <c:pt idx="125">
                  <c:v>44107</c:v>
                </c:pt>
                <c:pt idx="126">
                  <c:v>44106</c:v>
                </c:pt>
                <c:pt idx="127">
                  <c:v>44105</c:v>
                </c:pt>
                <c:pt idx="128">
                  <c:v>44104</c:v>
                </c:pt>
                <c:pt idx="129">
                  <c:v>44103</c:v>
                </c:pt>
                <c:pt idx="130">
                  <c:v>44102</c:v>
                </c:pt>
                <c:pt idx="131">
                  <c:v>44101</c:v>
                </c:pt>
                <c:pt idx="132">
                  <c:v>44100</c:v>
                </c:pt>
                <c:pt idx="133">
                  <c:v>44099</c:v>
                </c:pt>
                <c:pt idx="134">
                  <c:v>44098</c:v>
                </c:pt>
                <c:pt idx="135">
                  <c:v>44097</c:v>
                </c:pt>
                <c:pt idx="136">
                  <c:v>44096</c:v>
                </c:pt>
                <c:pt idx="137">
                  <c:v>44095</c:v>
                </c:pt>
                <c:pt idx="138">
                  <c:v>44094</c:v>
                </c:pt>
                <c:pt idx="139">
                  <c:v>44093</c:v>
                </c:pt>
                <c:pt idx="140">
                  <c:v>44092</c:v>
                </c:pt>
                <c:pt idx="141">
                  <c:v>44091</c:v>
                </c:pt>
                <c:pt idx="142">
                  <c:v>44090</c:v>
                </c:pt>
                <c:pt idx="143">
                  <c:v>44089</c:v>
                </c:pt>
                <c:pt idx="144">
                  <c:v>44088</c:v>
                </c:pt>
                <c:pt idx="145">
                  <c:v>44087</c:v>
                </c:pt>
                <c:pt idx="146">
                  <c:v>44086</c:v>
                </c:pt>
                <c:pt idx="147">
                  <c:v>44085</c:v>
                </c:pt>
                <c:pt idx="148">
                  <c:v>44084</c:v>
                </c:pt>
                <c:pt idx="149">
                  <c:v>44083</c:v>
                </c:pt>
                <c:pt idx="150">
                  <c:v>44082</c:v>
                </c:pt>
                <c:pt idx="151">
                  <c:v>44081</c:v>
                </c:pt>
                <c:pt idx="152">
                  <c:v>44080</c:v>
                </c:pt>
                <c:pt idx="153">
                  <c:v>44079</c:v>
                </c:pt>
                <c:pt idx="154">
                  <c:v>44078</c:v>
                </c:pt>
                <c:pt idx="155">
                  <c:v>44077</c:v>
                </c:pt>
                <c:pt idx="156">
                  <c:v>44076</c:v>
                </c:pt>
                <c:pt idx="157">
                  <c:v>44075</c:v>
                </c:pt>
                <c:pt idx="158">
                  <c:v>44074</c:v>
                </c:pt>
                <c:pt idx="159">
                  <c:v>44073</c:v>
                </c:pt>
                <c:pt idx="160">
                  <c:v>44072</c:v>
                </c:pt>
                <c:pt idx="161">
                  <c:v>44071</c:v>
                </c:pt>
                <c:pt idx="162">
                  <c:v>44070</c:v>
                </c:pt>
                <c:pt idx="163">
                  <c:v>44069</c:v>
                </c:pt>
                <c:pt idx="164">
                  <c:v>44068</c:v>
                </c:pt>
                <c:pt idx="165">
                  <c:v>44067</c:v>
                </c:pt>
                <c:pt idx="166">
                  <c:v>44066</c:v>
                </c:pt>
                <c:pt idx="167">
                  <c:v>44065</c:v>
                </c:pt>
                <c:pt idx="168">
                  <c:v>44064</c:v>
                </c:pt>
                <c:pt idx="169">
                  <c:v>44063</c:v>
                </c:pt>
                <c:pt idx="170">
                  <c:v>44062</c:v>
                </c:pt>
                <c:pt idx="171">
                  <c:v>44061</c:v>
                </c:pt>
                <c:pt idx="172">
                  <c:v>44060</c:v>
                </c:pt>
                <c:pt idx="173">
                  <c:v>44059</c:v>
                </c:pt>
                <c:pt idx="174">
                  <c:v>44058</c:v>
                </c:pt>
                <c:pt idx="175">
                  <c:v>44057</c:v>
                </c:pt>
                <c:pt idx="176">
                  <c:v>44056</c:v>
                </c:pt>
                <c:pt idx="177">
                  <c:v>44055</c:v>
                </c:pt>
                <c:pt idx="178">
                  <c:v>44054</c:v>
                </c:pt>
                <c:pt idx="179">
                  <c:v>44053</c:v>
                </c:pt>
                <c:pt idx="180">
                  <c:v>44052</c:v>
                </c:pt>
                <c:pt idx="181">
                  <c:v>44051</c:v>
                </c:pt>
                <c:pt idx="182">
                  <c:v>44050</c:v>
                </c:pt>
                <c:pt idx="183">
                  <c:v>44049</c:v>
                </c:pt>
                <c:pt idx="184">
                  <c:v>44048</c:v>
                </c:pt>
                <c:pt idx="185">
                  <c:v>44047</c:v>
                </c:pt>
                <c:pt idx="186">
                  <c:v>44046</c:v>
                </c:pt>
                <c:pt idx="187">
                  <c:v>44045</c:v>
                </c:pt>
                <c:pt idx="188">
                  <c:v>44044</c:v>
                </c:pt>
                <c:pt idx="189">
                  <c:v>44043</c:v>
                </c:pt>
                <c:pt idx="190">
                  <c:v>44042</c:v>
                </c:pt>
                <c:pt idx="191">
                  <c:v>44041</c:v>
                </c:pt>
                <c:pt idx="192">
                  <c:v>44040</c:v>
                </c:pt>
                <c:pt idx="193">
                  <c:v>44039</c:v>
                </c:pt>
                <c:pt idx="194">
                  <c:v>44038</c:v>
                </c:pt>
                <c:pt idx="195">
                  <c:v>44037</c:v>
                </c:pt>
                <c:pt idx="196">
                  <c:v>44036</c:v>
                </c:pt>
                <c:pt idx="197">
                  <c:v>44035</c:v>
                </c:pt>
                <c:pt idx="198">
                  <c:v>44034</c:v>
                </c:pt>
                <c:pt idx="199">
                  <c:v>44033</c:v>
                </c:pt>
                <c:pt idx="200">
                  <c:v>44032</c:v>
                </c:pt>
                <c:pt idx="201">
                  <c:v>44031</c:v>
                </c:pt>
                <c:pt idx="202">
                  <c:v>44030</c:v>
                </c:pt>
                <c:pt idx="203">
                  <c:v>44029</c:v>
                </c:pt>
                <c:pt idx="204">
                  <c:v>44028</c:v>
                </c:pt>
                <c:pt idx="205">
                  <c:v>44027</c:v>
                </c:pt>
                <c:pt idx="206">
                  <c:v>44026</c:v>
                </c:pt>
                <c:pt idx="207">
                  <c:v>44025</c:v>
                </c:pt>
                <c:pt idx="208">
                  <c:v>44024</c:v>
                </c:pt>
                <c:pt idx="209">
                  <c:v>44023</c:v>
                </c:pt>
                <c:pt idx="210">
                  <c:v>44022</c:v>
                </c:pt>
                <c:pt idx="211">
                  <c:v>44021</c:v>
                </c:pt>
                <c:pt idx="212">
                  <c:v>44020</c:v>
                </c:pt>
                <c:pt idx="213">
                  <c:v>44019</c:v>
                </c:pt>
                <c:pt idx="214">
                  <c:v>44018</c:v>
                </c:pt>
                <c:pt idx="215">
                  <c:v>44017</c:v>
                </c:pt>
                <c:pt idx="216">
                  <c:v>44016</c:v>
                </c:pt>
                <c:pt idx="217">
                  <c:v>44015</c:v>
                </c:pt>
                <c:pt idx="218">
                  <c:v>44014</c:v>
                </c:pt>
                <c:pt idx="219">
                  <c:v>44013</c:v>
                </c:pt>
                <c:pt idx="220">
                  <c:v>44012</c:v>
                </c:pt>
                <c:pt idx="221">
                  <c:v>44011</c:v>
                </c:pt>
                <c:pt idx="222">
                  <c:v>44010</c:v>
                </c:pt>
                <c:pt idx="223">
                  <c:v>44009</c:v>
                </c:pt>
                <c:pt idx="224">
                  <c:v>44008</c:v>
                </c:pt>
                <c:pt idx="225">
                  <c:v>44007</c:v>
                </c:pt>
                <c:pt idx="226">
                  <c:v>44006</c:v>
                </c:pt>
                <c:pt idx="227">
                  <c:v>44005</c:v>
                </c:pt>
                <c:pt idx="228">
                  <c:v>44004</c:v>
                </c:pt>
                <c:pt idx="229">
                  <c:v>44003</c:v>
                </c:pt>
                <c:pt idx="230">
                  <c:v>44002</c:v>
                </c:pt>
                <c:pt idx="231">
                  <c:v>44001</c:v>
                </c:pt>
                <c:pt idx="232">
                  <c:v>44000</c:v>
                </c:pt>
                <c:pt idx="233">
                  <c:v>43999</c:v>
                </c:pt>
                <c:pt idx="234">
                  <c:v>43998</c:v>
                </c:pt>
                <c:pt idx="235">
                  <c:v>43997</c:v>
                </c:pt>
                <c:pt idx="236">
                  <c:v>43996</c:v>
                </c:pt>
                <c:pt idx="237">
                  <c:v>43995</c:v>
                </c:pt>
                <c:pt idx="238">
                  <c:v>43994</c:v>
                </c:pt>
                <c:pt idx="239">
                  <c:v>43993</c:v>
                </c:pt>
                <c:pt idx="240">
                  <c:v>43992</c:v>
                </c:pt>
                <c:pt idx="241">
                  <c:v>43991</c:v>
                </c:pt>
                <c:pt idx="242">
                  <c:v>43990</c:v>
                </c:pt>
                <c:pt idx="243">
                  <c:v>43989</c:v>
                </c:pt>
                <c:pt idx="244">
                  <c:v>43988</c:v>
                </c:pt>
                <c:pt idx="245">
                  <c:v>43987</c:v>
                </c:pt>
                <c:pt idx="246">
                  <c:v>43986</c:v>
                </c:pt>
                <c:pt idx="247">
                  <c:v>43985</c:v>
                </c:pt>
                <c:pt idx="248">
                  <c:v>43984</c:v>
                </c:pt>
                <c:pt idx="249">
                  <c:v>43983</c:v>
                </c:pt>
                <c:pt idx="250">
                  <c:v>43982</c:v>
                </c:pt>
                <c:pt idx="251">
                  <c:v>43981</c:v>
                </c:pt>
                <c:pt idx="252">
                  <c:v>43980</c:v>
                </c:pt>
                <c:pt idx="253">
                  <c:v>43979</c:v>
                </c:pt>
                <c:pt idx="254">
                  <c:v>43978</c:v>
                </c:pt>
                <c:pt idx="255">
                  <c:v>43977</c:v>
                </c:pt>
                <c:pt idx="256">
                  <c:v>43976</c:v>
                </c:pt>
                <c:pt idx="257">
                  <c:v>43975</c:v>
                </c:pt>
                <c:pt idx="258">
                  <c:v>43974</c:v>
                </c:pt>
                <c:pt idx="259">
                  <c:v>43973</c:v>
                </c:pt>
                <c:pt idx="260">
                  <c:v>43972</c:v>
                </c:pt>
                <c:pt idx="261">
                  <c:v>43971</c:v>
                </c:pt>
                <c:pt idx="262">
                  <c:v>43970</c:v>
                </c:pt>
                <c:pt idx="263">
                  <c:v>43969</c:v>
                </c:pt>
                <c:pt idx="264">
                  <c:v>43968</c:v>
                </c:pt>
                <c:pt idx="265">
                  <c:v>43967</c:v>
                </c:pt>
                <c:pt idx="266">
                  <c:v>43966</c:v>
                </c:pt>
                <c:pt idx="267">
                  <c:v>43965</c:v>
                </c:pt>
                <c:pt idx="268">
                  <c:v>43964</c:v>
                </c:pt>
                <c:pt idx="269">
                  <c:v>43963</c:v>
                </c:pt>
                <c:pt idx="270">
                  <c:v>43962</c:v>
                </c:pt>
                <c:pt idx="271">
                  <c:v>43961</c:v>
                </c:pt>
                <c:pt idx="272">
                  <c:v>43960</c:v>
                </c:pt>
                <c:pt idx="273">
                  <c:v>43959</c:v>
                </c:pt>
                <c:pt idx="274">
                  <c:v>43958</c:v>
                </c:pt>
                <c:pt idx="275">
                  <c:v>43957</c:v>
                </c:pt>
                <c:pt idx="276">
                  <c:v>43956</c:v>
                </c:pt>
                <c:pt idx="277">
                  <c:v>43955</c:v>
                </c:pt>
                <c:pt idx="278">
                  <c:v>43954</c:v>
                </c:pt>
                <c:pt idx="279">
                  <c:v>43953</c:v>
                </c:pt>
                <c:pt idx="280">
                  <c:v>43952</c:v>
                </c:pt>
                <c:pt idx="281">
                  <c:v>43951</c:v>
                </c:pt>
                <c:pt idx="282">
                  <c:v>43950</c:v>
                </c:pt>
                <c:pt idx="283">
                  <c:v>43949</c:v>
                </c:pt>
                <c:pt idx="284">
                  <c:v>43948</c:v>
                </c:pt>
                <c:pt idx="285">
                  <c:v>43947</c:v>
                </c:pt>
              </c:numCache>
            </c:numRef>
          </c:cat>
          <c:val>
            <c:numRef>
              <c:f>A!$AB$11:$AB$296</c:f>
              <c:numCache>
                <c:formatCode>#,##0</c:formatCode>
                <c:ptCount val="286"/>
                <c:pt idx="0">
                  <c:v>186548.14285714287</c:v>
                </c:pt>
                <c:pt idx="1">
                  <c:v>192506.28571428571</c:v>
                </c:pt>
                <c:pt idx="2">
                  <c:v>198725.71428571429</c:v>
                </c:pt>
                <c:pt idx="3">
                  <c:v>204965.85714285713</c:v>
                </c:pt>
                <c:pt idx="4">
                  <c:v>211312.28571428571</c:v>
                </c:pt>
                <c:pt idx="5">
                  <c:v>217543.28571428571</c:v>
                </c:pt>
                <c:pt idx="6">
                  <c:v>223555.57142857142</c:v>
                </c:pt>
                <c:pt idx="7">
                  <c:v>229120.71428571429</c:v>
                </c:pt>
                <c:pt idx="8">
                  <c:v>234216.28571428571</c:v>
                </c:pt>
                <c:pt idx="9">
                  <c:v>239228.14285714287</c:v>
                </c:pt>
                <c:pt idx="10">
                  <c:v>244489.14285714287</c:v>
                </c:pt>
                <c:pt idx="11">
                  <c:v>249896</c:v>
                </c:pt>
                <c:pt idx="12">
                  <c:v>256429.14285714287</c:v>
                </c:pt>
                <c:pt idx="13">
                  <c:v>262718</c:v>
                </c:pt>
                <c:pt idx="14">
                  <c:v>268861.14285714284</c:v>
                </c:pt>
                <c:pt idx="15">
                  <c:v>275008.14285714284</c:v>
                </c:pt>
                <c:pt idx="16">
                  <c:v>281296.57142857142</c:v>
                </c:pt>
                <c:pt idx="17">
                  <c:v>287460.57142857142</c:v>
                </c:pt>
                <c:pt idx="18">
                  <c:v>293108.14285714284</c:v>
                </c:pt>
                <c:pt idx="19">
                  <c:v>297851.85714285716</c:v>
                </c:pt>
                <c:pt idx="20">
                  <c:v>302501.14285714284</c:v>
                </c:pt>
                <c:pt idx="21">
                  <c:v>306971.42857142858</c:v>
                </c:pt>
                <c:pt idx="22">
                  <c:v>311236.71428571426</c:v>
                </c:pt>
                <c:pt idx="23">
                  <c:v>315114.28571428574</c:v>
                </c:pt>
                <c:pt idx="24">
                  <c:v>318773.14285714284</c:v>
                </c:pt>
                <c:pt idx="25">
                  <c:v>322313.85714285716</c:v>
                </c:pt>
                <c:pt idx="26">
                  <c:v>325762.42857142858</c:v>
                </c:pt>
                <c:pt idx="27">
                  <c:v>328509.14285714284</c:v>
                </c:pt>
                <c:pt idx="28">
                  <c:v>329783.71428571426</c:v>
                </c:pt>
                <c:pt idx="29">
                  <c:v>330772.42857142858</c:v>
                </c:pt>
                <c:pt idx="30">
                  <c:v>331478.57142857142</c:v>
                </c:pt>
                <c:pt idx="31">
                  <c:v>332178.71428571426</c:v>
                </c:pt>
                <c:pt idx="32">
                  <c:v>333551.57142857142</c:v>
                </c:pt>
                <c:pt idx="33">
                  <c:v>335578.42857142858</c:v>
                </c:pt>
                <c:pt idx="34">
                  <c:v>339156.28571428574</c:v>
                </c:pt>
                <c:pt idx="35">
                  <c:v>344161.28571428574</c:v>
                </c:pt>
                <c:pt idx="36">
                  <c:v>348642.42857142858</c:v>
                </c:pt>
                <c:pt idx="37">
                  <c:v>352736.14285714284</c:v>
                </c:pt>
                <c:pt idx="38">
                  <c:v>356488.85714285716</c:v>
                </c:pt>
                <c:pt idx="39">
                  <c:v>360044</c:v>
                </c:pt>
                <c:pt idx="40">
                  <c:v>362885.42857142858</c:v>
                </c:pt>
                <c:pt idx="41">
                  <c:v>365503.85714285716</c:v>
                </c:pt>
                <c:pt idx="42">
                  <c:v>367715.14285714284</c:v>
                </c:pt>
                <c:pt idx="43">
                  <c:v>369768.57142857142</c:v>
                </c:pt>
                <c:pt idx="44">
                  <c:v>371286.57142857142</c:v>
                </c:pt>
                <c:pt idx="45">
                  <c:v>371710.71428571426</c:v>
                </c:pt>
                <c:pt idx="46">
                  <c:v>371165</c:v>
                </c:pt>
                <c:pt idx="47">
                  <c:v>369181.71428571426</c:v>
                </c:pt>
                <c:pt idx="48">
                  <c:v>364643.71428571426</c:v>
                </c:pt>
                <c:pt idx="49">
                  <c:v>358999.57142857142</c:v>
                </c:pt>
                <c:pt idx="50">
                  <c:v>353850.85714285716</c:v>
                </c:pt>
                <c:pt idx="51">
                  <c:v>348031</c:v>
                </c:pt>
                <c:pt idx="52">
                  <c:v>342591.85714285716</c:v>
                </c:pt>
                <c:pt idx="53">
                  <c:v>336944.57142857142</c:v>
                </c:pt>
                <c:pt idx="54">
                  <c:v>331437.71428571426</c:v>
                </c:pt>
                <c:pt idx="55">
                  <c:v>326210.28571428574</c:v>
                </c:pt>
                <c:pt idx="56">
                  <c:v>321252.42857142858</c:v>
                </c:pt>
                <c:pt idx="57">
                  <c:v>316349.71428571426</c:v>
                </c:pt>
                <c:pt idx="58">
                  <c:v>312182.85714285716</c:v>
                </c:pt>
                <c:pt idx="59">
                  <c:v>307973.28571428574</c:v>
                </c:pt>
                <c:pt idx="60">
                  <c:v>304419.28571428574</c:v>
                </c:pt>
                <c:pt idx="61">
                  <c:v>301246.28571428574</c:v>
                </c:pt>
                <c:pt idx="62">
                  <c:v>298760</c:v>
                </c:pt>
                <c:pt idx="63">
                  <c:v>297253.71428571426</c:v>
                </c:pt>
                <c:pt idx="64">
                  <c:v>296057.71428571426</c:v>
                </c:pt>
                <c:pt idx="65">
                  <c:v>295796.28571428574</c:v>
                </c:pt>
                <c:pt idx="66">
                  <c:v>295379.85714285716</c:v>
                </c:pt>
                <c:pt idx="67">
                  <c:v>295112.14285714284</c:v>
                </c:pt>
                <c:pt idx="68">
                  <c:v>295367.14285714284</c:v>
                </c:pt>
                <c:pt idx="69">
                  <c:v>295810.57142857142</c:v>
                </c:pt>
                <c:pt idx="70">
                  <c:v>296259.28571428574</c:v>
                </c:pt>
                <c:pt idx="71">
                  <c:v>296549.14285714284</c:v>
                </c:pt>
                <c:pt idx="72">
                  <c:v>296104.71428571426</c:v>
                </c:pt>
                <c:pt idx="73">
                  <c:v>295776.14285714284</c:v>
                </c:pt>
                <c:pt idx="74">
                  <c:v>295229</c:v>
                </c:pt>
                <c:pt idx="75">
                  <c:v>294431.85714285716</c:v>
                </c:pt>
                <c:pt idx="76">
                  <c:v>293307</c:v>
                </c:pt>
                <c:pt idx="77">
                  <c:v>291523.85714285716</c:v>
                </c:pt>
                <c:pt idx="78">
                  <c:v>289172.28571428574</c:v>
                </c:pt>
                <c:pt idx="79">
                  <c:v>286473.14285714284</c:v>
                </c:pt>
                <c:pt idx="80">
                  <c:v>283238.71428571426</c:v>
                </c:pt>
                <c:pt idx="81">
                  <c:v>279706</c:v>
                </c:pt>
                <c:pt idx="82">
                  <c:v>275768</c:v>
                </c:pt>
                <c:pt idx="83">
                  <c:v>271533.85714285716</c:v>
                </c:pt>
                <c:pt idx="84">
                  <c:v>266951.71428571426</c:v>
                </c:pt>
                <c:pt idx="85">
                  <c:v>262013.42857142858</c:v>
                </c:pt>
                <c:pt idx="86">
                  <c:v>256550.85714285713</c:v>
                </c:pt>
                <c:pt idx="87">
                  <c:v>250456</c:v>
                </c:pt>
                <c:pt idx="88">
                  <c:v>243627.14285714287</c:v>
                </c:pt>
                <c:pt idx="89">
                  <c:v>236667.71428571429</c:v>
                </c:pt>
                <c:pt idx="90">
                  <c:v>229281.71428571429</c:v>
                </c:pt>
                <c:pt idx="91">
                  <c:v>221750.57142857142</c:v>
                </c:pt>
                <c:pt idx="92">
                  <c:v>214086.42857142858</c:v>
                </c:pt>
                <c:pt idx="93">
                  <c:v>206047</c:v>
                </c:pt>
                <c:pt idx="94">
                  <c:v>197544.28571428571</c:v>
                </c:pt>
                <c:pt idx="95">
                  <c:v>188777.57142857142</c:v>
                </c:pt>
                <c:pt idx="96">
                  <c:v>179897.42857142858</c:v>
                </c:pt>
                <c:pt idx="97">
                  <c:v>171062</c:v>
                </c:pt>
                <c:pt idx="98">
                  <c:v>161988.85714285713</c:v>
                </c:pt>
                <c:pt idx="99">
                  <c:v>152815.28571428571</c:v>
                </c:pt>
                <c:pt idx="100">
                  <c:v>143423.71428571429</c:v>
                </c:pt>
                <c:pt idx="101">
                  <c:v>134111.28571428571</c:v>
                </c:pt>
                <c:pt idx="102">
                  <c:v>124897</c:v>
                </c:pt>
                <c:pt idx="103">
                  <c:v>115868.57142857143</c:v>
                </c:pt>
                <c:pt idx="104">
                  <c:v>107210.28571428571</c:v>
                </c:pt>
                <c:pt idx="105">
                  <c:v>99282.142857142855</c:v>
                </c:pt>
                <c:pt idx="106">
                  <c:v>91786.571428571435</c:v>
                </c:pt>
                <c:pt idx="107">
                  <c:v>85008.571428571435</c:v>
                </c:pt>
                <c:pt idx="108">
                  <c:v>78651.428571428565</c:v>
                </c:pt>
                <c:pt idx="109">
                  <c:v>72701.142857142855</c:v>
                </c:pt>
                <c:pt idx="110">
                  <c:v>67375.142857142855</c:v>
                </c:pt>
                <c:pt idx="111">
                  <c:v>62830.285714285717</c:v>
                </c:pt>
                <c:pt idx="112">
                  <c:v>58668.714285714283</c:v>
                </c:pt>
                <c:pt idx="113">
                  <c:v>54986</c:v>
                </c:pt>
                <c:pt idx="114">
                  <c:v>51484.285714285717</c:v>
                </c:pt>
                <c:pt idx="115">
                  <c:v>48212.857142857145</c:v>
                </c:pt>
                <c:pt idx="116">
                  <c:v>45077.428571428572</c:v>
                </c:pt>
                <c:pt idx="117">
                  <c:v>42171.285714285717</c:v>
                </c:pt>
                <c:pt idx="118">
                  <c:v>39606.714285714283</c:v>
                </c:pt>
                <c:pt idx="119">
                  <c:v>37328.571428571428</c:v>
                </c:pt>
                <c:pt idx="120">
                  <c:v>35316.571428571428</c:v>
                </c:pt>
                <c:pt idx="121">
                  <c:v>33544.142857142855</c:v>
                </c:pt>
                <c:pt idx="122">
                  <c:v>31912</c:v>
                </c:pt>
                <c:pt idx="123">
                  <c:v>30391.857142857141</c:v>
                </c:pt>
                <c:pt idx="124">
                  <c:v>28999.571428571428</c:v>
                </c:pt>
                <c:pt idx="125">
                  <c:v>27873.285714285714</c:v>
                </c:pt>
                <c:pt idx="126">
                  <c:v>26909.857142857141</c:v>
                </c:pt>
                <c:pt idx="127">
                  <c:v>26168</c:v>
                </c:pt>
                <c:pt idx="128">
                  <c:v>25544.857142857141</c:v>
                </c:pt>
                <c:pt idx="129">
                  <c:v>24971.571428571428</c:v>
                </c:pt>
                <c:pt idx="130">
                  <c:v>24410.857142857141</c:v>
                </c:pt>
                <c:pt idx="131">
                  <c:v>24031.857142857141</c:v>
                </c:pt>
                <c:pt idx="132">
                  <c:v>23588</c:v>
                </c:pt>
                <c:pt idx="133">
                  <c:v>23233.714285714286</c:v>
                </c:pt>
                <c:pt idx="134">
                  <c:v>22860.428571428572</c:v>
                </c:pt>
                <c:pt idx="135">
                  <c:v>22476.428571428572</c:v>
                </c:pt>
                <c:pt idx="136">
                  <c:v>22102</c:v>
                </c:pt>
                <c:pt idx="137">
                  <c:v>21737.142857142859</c:v>
                </c:pt>
                <c:pt idx="138">
                  <c:v>21309.714285714286</c:v>
                </c:pt>
                <c:pt idx="139">
                  <c:v>20940.428571428572</c:v>
                </c:pt>
                <c:pt idx="140">
                  <c:v>20575.285714285714</c:v>
                </c:pt>
                <c:pt idx="141">
                  <c:v>20172</c:v>
                </c:pt>
                <c:pt idx="142">
                  <c:v>19706</c:v>
                </c:pt>
                <c:pt idx="143">
                  <c:v>19270.857142857141</c:v>
                </c:pt>
                <c:pt idx="144">
                  <c:v>18792.285714285714</c:v>
                </c:pt>
                <c:pt idx="145">
                  <c:v>18341.857142857141</c:v>
                </c:pt>
                <c:pt idx="146">
                  <c:v>17943.714285714286</c:v>
                </c:pt>
                <c:pt idx="147">
                  <c:v>17577.857142857141</c:v>
                </c:pt>
                <c:pt idx="148">
                  <c:v>17269.428571428572</c:v>
                </c:pt>
                <c:pt idx="149">
                  <c:v>17079.285714285714</c:v>
                </c:pt>
                <c:pt idx="150">
                  <c:v>16903.428571428572</c:v>
                </c:pt>
                <c:pt idx="151">
                  <c:v>16757.857142857141</c:v>
                </c:pt>
                <c:pt idx="152">
                  <c:v>16620.714285714286</c:v>
                </c:pt>
                <c:pt idx="153">
                  <c:v>16547.714285714286</c:v>
                </c:pt>
                <c:pt idx="154">
                  <c:v>16507.714285714286</c:v>
                </c:pt>
                <c:pt idx="155">
                  <c:v>16551.428571428572</c:v>
                </c:pt>
                <c:pt idx="156">
                  <c:v>16584</c:v>
                </c:pt>
                <c:pt idx="157">
                  <c:v>16642.428571428572</c:v>
                </c:pt>
                <c:pt idx="158">
                  <c:v>16730.428571428572</c:v>
                </c:pt>
                <c:pt idx="159">
                  <c:v>16833.857142857141</c:v>
                </c:pt>
                <c:pt idx="160">
                  <c:v>16922.714285714286</c:v>
                </c:pt>
                <c:pt idx="161">
                  <c:v>16980.714285714286</c:v>
                </c:pt>
                <c:pt idx="162">
                  <c:v>16996</c:v>
                </c:pt>
                <c:pt idx="163">
                  <c:v>16935.857142857141</c:v>
                </c:pt>
                <c:pt idx="164">
                  <c:v>16824.428571428572</c:v>
                </c:pt>
                <c:pt idx="165">
                  <c:v>16670</c:v>
                </c:pt>
                <c:pt idx="166">
                  <c:v>16486.857142857141</c:v>
                </c:pt>
                <c:pt idx="167">
                  <c:v>16196.714285714286</c:v>
                </c:pt>
                <c:pt idx="168">
                  <c:v>15884.857142857143</c:v>
                </c:pt>
                <c:pt idx="169">
                  <c:v>15488</c:v>
                </c:pt>
                <c:pt idx="170">
                  <c:v>15044</c:v>
                </c:pt>
                <c:pt idx="171">
                  <c:v>14555.285714285714</c:v>
                </c:pt>
                <c:pt idx="172">
                  <c:v>14044.857142857143</c:v>
                </c:pt>
                <c:pt idx="173">
                  <c:v>13556.571428571429</c:v>
                </c:pt>
                <c:pt idx="174">
                  <c:v>13128</c:v>
                </c:pt>
                <c:pt idx="175">
                  <c:v>12654.428571428571</c:v>
                </c:pt>
                <c:pt idx="176">
                  <c:v>12188.857142857143</c:v>
                </c:pt>
                <c:pt idx="177">
                  <c:v>11735.142857142857</c:v>
                </c:pt>
                <c:pt idx="178">
                  <c:v>11313.428571428571</c:v>
                </c:pt>
                <c:pt idx="179">
                  <c:v>10881</c:v>
                </c:pt>
                <c:pt idx="180">
                  <c:v>10444.428571428571</c:v>
                </c:pt>
                <c:pt idx="181">
                  <c:v>10036.285714285714</c:v>
                </c:pt>
                <c:pt idx="182">
                  <c:v>9670.4285714285706</c:v>
                </c:pt>
                <c:pt idx="183">
                  <c:v>9347.8571428571431</c:v>
                </c:pt>
                <c:pt idx="184">
                  <c:v>9081.1428571428569</c:v>
                </c:pt>
                <c:pt idx="185">
                  <c:v>8798.8571428571431</c:v>
                </c:pt>
                <c:pt idx="186">
                  <c:v>8507</c:v>
                </c:pt>
                <c:pt idx="187">
                  <c:v>8230.4285714285706</c:v>
                </c:pt>
                <c:pt idx="188">
                  <c:v>7962.7142857142853</c:v>
                </c:pt>
                <c:pt idx="189">
                  <c:v>7705.8571428571431</c:v>
                </c:pt>
                <c:pt idx="190">
                  <c:v>7455</c:v>
                </c:pt>
                <c:pt idx="191">
                  <c:v>7197.1428571428569</c:v>
                </c:pt>
                <c:pt idx="192">
                  <c:v>6959.5714285714284</c:v>
                </c:pt>
                <c:pt idx="193">
                  <c:v>6716.5714285714284</c:v>
                </c:pt>
                <c:pt idx="194">
                  <c:v>6465.2857142857147</c:v>
                </c:pt>
                <c:pt idx="195">
                  <c:v>6238.8571428571431</c:v>
                </c:pt>
                <c:pt idx="196">
                  <c:v>6006.4285714285716</c:v>
                </c:pt>
                <c:pt idx="197">
                  <c:v>5807.2857142857147</c:v>
                </c:pt>
                <c:pt idx="198">
                  <c:v>5640.8571428571431</c:v>
                </c:pt>
                <c:pt idx="199">
                  <c:v>5476</c:v>
                </c:pt>
                <c:pt idx="200">
                  <c:v>5324.4285714285716</c:v>
                </c:pt>
                <c:pt idx="201">
                  <c:v>5187.7142857142853</c:v>
                </c:pt>
                <c:pt idx="202">
                  <c:v>5071.8571428571431</c:v>
                </c:pt>
                <c:pt idx="203">
                  <c:v>5002.5714285714284</c:v>
                </c:pt>
                <c:pt idx="204">
                  <c:v>4938.4285714285716</c:v>
                </c:pt>
                <c:pt idx="205">
                  <c:v>4888.7142857142853</c:v>
                </c:pt>
                <c:pt idx="206">
                  <c:v>4869</c:v>
                </c:pt>
                <c:pt idx="207">
                  <c:v>4876.2857142857147</c:v>
                </c:pt>
                <c:pt idx="208">
                  <c:v>4877.2857142857147</c:v>
                </c:pt>
                <c:pt idx="209">
                  <c:v>4914.8571428571431</c:v>
                </c:pt>
                <c:pt idx="210">
                  <c:v>4965.2857142857147</c:v>
                </c:pt>
                <c:pt idx="211">
                  <c:v>5043.8571428571431</c:v>
                </c:pt>
                <c:pt idx="212">
                  <c:v>5102.8571428571431</c:v>
                </c:pt>
                <c:pt idx="213">
                  <c:v>5179.8571428571431</c:v>
                </c:pt>
                <c:pt idx="214">
                  <c:v>5248.7142857142853</c:v>
                </c:pt>
                <c:pt idx="215">
                  <c:v>5347.2857142857147</c:v>
                </c:pt>
                <c:pt idx="216">
                  <c:v>5425.4285714285716</c:v>
                </c:pt>
                <c:pt idx="217">
                  <c:v>5539.5714285714284</c:v>
                </c:pt>
                <c:pt idx="218">
                  <c:v>5644.5714285714284</c:v>
                </c:pt>
                <c:pt idx="219">
                  <c:v>5782.5714285714284</c:v>
                </c:pt>
                <c:pt idx="220">
                  <c:v>5977.1428571428569</c:v>
                </c:pt>
                <c:pt idx="221">
                  <c:v>6151.2857142857147</c:v>
                </c:pt>
                <c:pt idx="222">
                  <c:v>6294.5714285714284</c:v>
                </c:pt>
                <c:pt idx="223">
                  <c:v>6414.1428571428569</c:v>
                </c:pt>
                <c:pt idx="224">
                  <c:v>6473.8571428571431</c:v>
                </c:pt>
                <c:pt idx="225">
                  <c:v>6516</c:v>
                </c:pt>
                <c:pt idx="226">
                  <c:v>6527.5714285714284</c:v>
                </c:pt>
                <c:pt idx="227">
                  <c:v>6452.4285714285716</c:v>
                </c:pt>
                <c:pt idx="228">
                  <c:v>6337.8571428571431</c:v>
                </c:pt>
                <c:pt idx="229">
                  <c:v>6161.1428571428569</c:v>
                </c:pt>
                <c:pt idx="230">
                  <c:v>5983.1428571428569</c:v>
                </c:pt>
                <c:pt idx="231">
                  <c:v>5762.5714285714284</c:v>
                </c:pt>
                <c:pt idx="232">
                  <c:v>5551</c:v>
                </c:pt>
                <c:pt idx="233">
                  <c:v>5361.2857142857147</c:v>
                </c:pt>
                <c:pt idx="234">
                  <c:v>5203.5714285714284</c:v>
                </c:pt>
                <c:pt idx="235">
                  <c:v>5095.4285714285716</c:v>
                </c:pt>
                <c:pt idx="236">
                  <c:v>5065.2857142857147</c:v>
                </c:pt>
                <c:pt idx="237">
                  <c:v>5072.2857142857147</c:v>
                </c:pt>
                <c:pt idx="238">
                  <c:v>5165.5714285714284</c:v>
                </c:pt>
                <c:pt idx="239">
                  <c:v>5262.4285714285716</c:v>
                </c:pt>
                <c:pt idx="240">
                  <c:v>5361.4285714285716</c:v>
                </c:pt>
                <c:pt idx="241">
                  <c:v>5497</c:v>
                </c:pt>
                <c:pt idx="242">
                  <c:v>5603.5714285714284</c:v>
                </c:pt>
                <c:pt idx="243">
                  <c:v>5716.5714285714284</c:v>
                </c:pt>
                <c:pt idx="244">
                  <c:v>5837.5714285714284</c:v>
                </c:pt>
                <c:pt idx="245">
                  <c:v>5969.2857142857147</c:v>
                </c:pt>
                <c:pt idx="246">
                  <c:v>6124.5714285714284</c:v>
                </c:pt>
                <c:pt idx="247">
                  <c:v>6335.1428571428569</c:v>
                </c:pt>
                <c:pt idx="248">
                  <c:v>6533</c:v>
                </c:pt>
                <c:pt idx="249">
                  <c:v>6783.4285714285716</c:v>
                </c:pt>
                <c:pt idx="250">
                  <c:v>7022.7142857142853</c:v>
                </c:pt>
                <c:pt idx="251">
                  <c:v>7272.7142857142853</c:v>
                </c:pt>
                <c:pt idx="252">
                  <c:v>7518.8571428571431</c:v>
                </c:pt>
                <c:pt idx="253">
                  <c:v>7761.1428571428569</c:v>
                </c:pt>
                <c:pt idx="254">
                  <c:v>7988.8571428571431</c:v>
                </c:pt>
                <c:pt idx="255">
                  <c:v>8233</c:v>
                </c:pt>
                <c:pt idx="256">
                  <c:v>8511.8571428571431</c:v>
                </c:pt>
                <c:pt idx="257">
                  <c:v>8787.1428571428569</c:v>
                </c:pt>
                <c:pt idx="258">
                  <c:v>9091.4285714285706</c:v>
                </c:pt>
                <c:pt idx="259">
                  <c:v>9448.4285714285706</c:v>
                </c:pt>
                <c:pt idx="260">
                  <c:v>9848.7142857142862</c:v>
                </c:pt>
                <c:pt idx="261">
                  <c:v>10249.142857142857</c:v>
                </c:pt>
                <c:pt idx="262">
                  <c:v>10684.714285714286</c:v>
                </c:pt>
                <c:pt idx="263">
                  <c:v>11157.142857142857</c:v>
                </c:pt>
                <c:pt idx="264">
                  <c:v>11665.285714285714</c:v>
                </c:pt>
                <c:pt idx="265">
                  <c:v>12178.142857142857</c:v>
                </c:pt>
                <c:pt idx="266">
                  <c:v>12694</c:v>
                </c:pt>
                <c:pt idx="267">
                  <c:v>13259</c:v>
                </c:pt>
                <c:pt idx="268">
                  <c:v>13869.285714285714</c:v>
                </c:pt>
                <c:pt idx="269">
                  <c:v>14497.285714285714</c:v>
                </c:pt>
                <c:pt idx="270">
                  <c:v>15123.285714285714</c:v>
                </c:pt>
                <c:pt idx="271">
                  <c:v>15779.142857142857</c:v>
                </c:pt>
                <c:pt idx="272">
                  <c:v>16451.428571428572</c:v>
                </c:pt>
                <c:pt idx="273">
                  <c:v>17145.142857142859</c:v>
                </c:pt>
                <c:pt idx="274">
                  <c:v>17922.142857142859</c:v>
                </c:pt>
                <c:pt idx="275">
                  <c:v>18801.285714285714</c:v>
                </c:pt>
                <c:pt idx="276">
                  <c:v>19833.428571428572</c:v>
                </c:pt>
                <c:pt idx="277">
                  <c:v>20951.142857142859</c:v>
                </c:pt>
                <c:pt idx="278">
                  <c:v>22129.142857142859</c:v>
                </c:pt>
                <c:pt idx="279">
                  <c:v>23421</c:v>
                </c:pt>
                <c:pt idx="280">
                  <c:v>24886.571428571428</c:v>
                </c:pt>
                <c:pt idx="281">
                  <c:v>26417.285714285714</c:v>
                </c:pt>
                <c:pt idx="282">
                  <c:v>28002.285714285714</c:v>
                </c:pt>
                <c:pt idx="283">
                  <c:v>29596.571428571428</c:v>
                </c:pt>
                <c:pt idx="284">
                  <c:v>31209.142857142859</c:v>
                </c:pt>
                <c:pt idx="285">
                  <c:v>32782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4E-4D43-A8D9-2C8D164B0F8E}"/>
            </c:ext>
          </c:extLst>
        </c:ser>
        <c:ser>
          <c:idx val="2"/>
          <c:order val="2"/>
          <c:tx>
            <c:strRef>
              <c:f>A!$AC$10</c:f>
              <c:strCache>
                <c:ptCount val="1"/>
                <c:pt idx="0">
                  <c:v>DIVI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A!$Z$11:$Z$296</c:f>
              <c:numCache>
                <c:formatCode>dd/mm/yy;@</c:formatCode>
                <c:ptCount val="286"/>
                <c:pt idx="0">
                  <c:v>44232</c:v>
                </c:pt>
                <c:pt idx="1">
                  <c:v>44231</c:v>
                </c:pt>
                <c:pt idx="2">
                  <c:v>44230</c:v>
                </c:pt>
                <c:pt idx="3">
                  <c:v>44229</c:v>
                </c:pt>
                <c:pt idx="4">
                  <c:v>44228</c:v>
                </c:pt>
                <c:pt idx="5">
                  <c:v>44227</c:v>
                </c:pt>
                <c:pt idx="6">
                  <c:v>44226</c:v>
                </c:pt>
                <c:pt idx="7">
                  <c:v>44225</c:v>
                </c:pt>
                <c:pt idx="8">
                  <c:v>44224</c:v>
                </c:pt>
                <c:pt idx="9">
                  <c:v>44223</c:v>
                </c:pt>
                <c:pt idx="10">
                  <c:v>44222</c:v>
                </c:pt>
                <c:pt idx="11">
                  <c:v>44221</c:v>
                </c:pt>
                <c:pt idx="12">
                  <c:v>44220</c:v>
                </c:pt>
                <c:pt idx="13">
                  <c:v>44219</c:v>
                </c:pt>
                <c:pt idx="14">
                  <c:v>44218</c:v>
                </c:pt>
                <c:pt idx="15">
                  <c:v>44217</c:v>
                </c:pt>
                <c:pt idx="16">
                  <c:v>44216</c:v>
                </c:pt>
                <c:pt idx="17">
                  <c:v>44215</c:v>
                </c:pt>
                <c:pt idx="18">
                  <c:v>44214</c:v>
                </c:pt>
                <c:pt idx="19">
                  <c:v>44213</c:v>
                </c:pt>
                <c:pt idx="20">
                  <c:v>44212</c:v>
                </c:pt>
                <c:pt idx="21">
                  <c:v>44211</c:v>
                </c:pt>
                <c:pt idx="22">
                  <c:v>44210</c:v>
                </c:pt>
                <c:pt idx="23">
                  <c:v>44209</c:v>
                </c:pt>
                <c:pt idx="24">
                  <c:v>44208</c:v>
                </c:pt>
                <c:pt idx="25">
                  <c:v>44207</c:v>
                </c:pt>
                <c:pt idx="26">
                  <c:v>44206</c:v>
                </c:pt>
                <c:pt idx="27">
                  <c:v>44205</c:v>
                </c:pt>
                <c:pt idx="28">
                  <c:v>44204</c:v>
                </c:pt>
                <c:pt idx="29">
                  <c:v>44203</c:v>
                </c:pt>
                <c:pt idx="30">
                  <c:v>44202</c:v>
                </c:pt>
                <c:pt idx="31">
                  <c:v>44201</c:v>
                </c:pt>
                <c:pt idx="32">
                  <c:v>44200</c:v>
                </c:pt>
                <c:pt idx="33">
                  <c:v>44199</c:v>
                </c:pt>
                <c:pt idx="34">
                  <c:v>44198</c:v>
                </c:pt>
                <c:pt idx="35">
                  <c:v>44197</c:v>
                </c:pt>
                <c:pt idx="36">
                  <c:v>44196</c:v>
                </c:pt>
                <c:pt idx="37">
                  <c:v>44195</c:v>
                </c:pt>
                <c:pt idx="38">
                  <c:v>44194</c:v>
                </c:pt>
                <c:pt idx="39">
                  <c:v>44193</c:v>
                </c:pt>
                <c:pt idx="40">
                  <c:v>44192</c:v>
                </c:pt>
                <c:pt idx="41">
                  <c:v>44191</c:v>
                </c:pt>
                <c:pt idx="42">
                  <c:v>44190</c:v>
                </c:pt>
                <c:pt idx="43">
                  <c:v>44189</c:v>
                </c:pt>
                <c:pt idx="44">
                  <c:v>44188</c:v>
                </c:pt>
                <c:pt idx="45">
                  <c:v>44187</c:v>
                </c:pt>
                <c:pt idx="46">
                  <c:v>44186</c:v>
                </c:pt>
                <c:pt idx="47">
                  <c:v>44185</c:v>
                </c:pt>
                <c:pt idx="48">
                  <c:v>44184</c:v>
                </c:pt>
                <c:pt idx="49">
                  <c:v>44183</c:v>
                </c:pt>
                <c:pt idx="50">
                  <c:v>44182</c:v>
                </c:pt>
                <c:pt idx="51">
                  <c:v>44181</c:v>
                </c:pt>
                <c:pt idx="52">
                  <c:v>44180</c:v>
                </c:pt>
                <c:pt idx="53">
                  <c:v>44179</c:v>
                </c:pt>
                <c:pt idx="54">
                  <c:v>44178</c:v>
                </c:pt>
                <c:pt idx="55">
                  <c:v>44177</c:v>
                </c:pt>
                <c:pt idx="56">
                  <c:v>44176</c:v>
                </c:pt>
                <c:pt idx="57">
                  <c:v>44175</c:v>
                </c:pt>
                <c:pt idx="58">
                  <c:v>44174</c:v>
                </c:pt>
                <c:pt idx="59">
                  <c:v>44173</c:v>
                </c:pt>
                <c:pt idx="60">
                  <c:v>44172</c:v>
                </c:pt>
                <c:pt idx="61">
                  <c:v>44171</c:v>
                </c:pt>
                <c:pt idx="62">
                  <c:v>44170</c:v>
                </c:pt>
                <c:pt idx="63">
                  <c:v>44169</c:v>
                </c:pt>
                <c:pt idx="64">
                  <c:v>44168</c:v>
                </c:pt>
                <c:pt idx="65">
                  <c:v>44167</c:v>
                </c:pt>
                <c:pt idx="66">
                  <c:v>44166</c:v>
                </c:pt>
                <c:pt idx="67">
                  <c:v>44165</c:v>
                </c:pt>
                <c:pt idx="68">
                  <c:v>44164</c:v>
                </c:pt>
                <c:pt idx="69">
                  <c:v>44163</c:v>
                </c:pt>
                <c:pt idx="70">
                  <c:v>44162</c:v>
                </c:pt>
                <c:pt idx="71">
                  <c:v>44161</c:v>
                </c:pt>
                <c:pt idx="72">
                  <c:v>44160</c:v>
                </c:pt>
                <c:pt idx="73">
                  <c:v>44159</c:v>
                </c:pt>
                <c:pt idx="74">
                  <c:v>44158</c:v>
                </c:pt>
                <c:pt idx="75">
                  <c:v>44157</c:v>
                </c:pt>
                <c:pt idx="76">
                  <c:v>44156</c:v>
                </c:pt>
                <c:pt idx="77">
                  <c:v>44155</c:v>
                </c:pt>
                <c:pt idx="78">
                  <c:v>44154</c:v>
                </c:pt>
                <c:pt idx="79">
                  <c:v>44153</c:v>
                </c:pt>
                <c:pt idx="80">
                  <c:v>44152</c:v>
                </c:pt>
                <c:pt idx="81">
                  <c:v>44151</c:v>
                </c:pt>
                <c:pt idx="82">
                  <c:v>44150</c:v>
                </c:pt>
                <c:pt idx="83">
                  <c:v>44149</c:v>
                </c:pt>
                <c:pt idx="84">
                  <c:v>44148</c:v>
                </c:pt>
                <c:pt idx="85">
                  <c:v>44147</c:v>
                </c:pt>
                <c:pt idx="86">
                  <c:v>44146</c:v>
                </c:pt>
                <c:pt idx="87">
                  <c:v>44145</c:v>
                </c:pt>
                <c:pt idx="88">
                  <c:v>44144</c:v>
                </c:pt>
                <c:pt idx="89">
                  <c:v>44143</c:v>
                </c:pt>
                <c:pt idx="90">
                  <c:v>44142</c:v>
                </c:pt>
                <c:pt idx="91">
                  <c:v>44141</c:v>
                </c:pt>
                <c:pt idx="92">
                  <c:v>44140</c:v>
                </c:pt>
                <c:pt idx="93">
                  <c:v>44139</c:v>
                </c:pt>
                <c:pt idx="94">
                  <c:v>44138</c:v>
                </c:pt>
                <c:pt idx="95">
                  <c:v>44137</c:v>
                </c:pt>
                <c:pt idx="96">
                  <c:v>44136</c:v>
                </c:pt>
                <c:pt idx="97">
                  <c:v>44135</c:v>
                </c:pt>
                <c:pt idx="98">
                  <c:v>44134</c:v>
                </c:pt>
                <c:pt idx="99">
                  <c:v>44133</c:v>
                </c:pt>
                <c:pt idx="100">
                  <c:v>44132</c:v>
                </c:pt>
                <c:pt idx="101">
                  <c:v>44131</c:v>
                </c:pt>
                <c:pt idx="102">
                  <c:v>44130</c:v>
                </c:pt>
                <c:pt idx="103">
                  <c:v>44129</c:v>
                </c:pt>
                <c:pt idx="104">
                  <c:v>44128</c:v>
                </c:pt>
                <c:pt idx="105">
                  <c:v>44127</c:v>
                </c:pt>
                <c:pt idx="106">
                  <c:v>44126</c:v>
                </c:pt>
                <c:pt idx="107">
                  <c:v>44125</c:v>
                </c:pt>
                <c:pt idx="108">
                  <c:v>44124</c:v>
                </c:pt>
                <c:pt idx="109">
                  <c:v>44123</c:v>
                </c:pt>
                <c:pt idx="110">
                  <c:v>44122</c:v>
                </c:pt>
                <c:pt idx="111">
                  <c:v>44121</c:v>
                </c:pt>
                <c:pt idx="112">
                  <c:v>44120</c:v>
                </c:pt>
                <c:pt idx="113">
                  <c:v>44119</c:v>
                </c:pt>
                <c:pt idx="114">
                  <c:v>44118</c:v>
                </c:pt>
                <c:pt idx="115">
                  <c:v>44117</c:v>
                </c:pt>
                <c:pt idx="116">
                  <c:v>44116</c:v>
                </c:pt>
                <c:pt idx="117">
                  <c:v>44115</c:v>
                </c:pt>
                <c:pt idx="118">
                  <c:v>44114</c:v>
                </c:pt>
                <c:pt idx="119">
                  <c:v>44113</c:v>
                </c:pt>
                <c:pt idx="120">
                  <c:v>44112</c:v>
                </c:pt>
                <c:pt idx="121">
                  <c:v>44111</c:v>
                </c:pt>
                <c:pt idx="122">
                  <c:v>44110</c:v>
                </c:pt>
                <c:pt idx="123">
                  <c:v>44109</c:v>
                </c:pt>
                <c:pt idx="124">
                  <c:v>44108</c:v>
                </c:pt>
                <c:pt idx="125">
                  <c:v>44107</c:v>
                </c:pt>
                <c:pt idx="126">
                  <c:v>44106</c:v>
                </c:pt>
                <c:pt idx="127">
                  <c:v>44105</c:v>
                </c:pt>
                <c:pt idx="128">
                  <c:v>44104</c:v>
                </c:pt>
                <c:pt idx="129">
                  <c:v>44103</c:v>
                </c:pt>
                <c:pt idx="130">
                  <c:v>44102</c:v>
                </c:pt>
                <c:pt idx="131">
                  <c:v>44101</c:v>
                </c:pt>
                <c:pt idx="132">
                  <c:v>44100</c:v>
                </c:pt>
                <c:pt idx="133">
                  <c:v>44099</c:v>
                </c:pt>
                <c:pt idx="134">
                  <c:v>44098</c:v>
                </c:pt>
                <c:pt idx="135">
                  <c:v>44097</c:v>
                </c:pt>
                <c:pt idx="136">
                  <c:v>44096</c:v>
                </c:pt>
                <c:pt idx="137">
                  <c:v>44095</c:v>
                </c:pt>
                <c:pt idx="138">
                  <c:v>44094</c:v>
                </c:pt>
                <c:pt idx="139">
                  <c:v>44093</c:v>
                </c:pt>
                <c:pt idx="140">
                  <c:v>44092</c:v>
                </c:pt>
                <c:pt idx="141">
                  <c:v>44091</c:v>
                </c:pt>
                <c:pt idx="142">
                  <c:v>44090</c:v>
                </c:pt>
                <c:pt idx="143">
                  <c:v>44089</c:v>
                </c:pt>
                <c:pt idx="144">
                  <c:v>44088</c:v>
                </c:pt>
                <c:pt idx="145">
                  <c:v>44087</c:v>
                </c:pt>
                <c:pt idx="146">
                  <c:v>44086</c:v>
                </c:pt>
                <c:pt idx="147">
                  <c:v>44085</c:v>
                </c:pt>
                <c:pt idx="148">
                  <c:v>44084</c:v>
                </c:pt>
                <c:pt idx="149">
                  <c:v>44083</c:v>
                </c:pt>
                <c:pt idx="150">
                  <c:v>44082</c:v>
                </c:pt>
                <c:pt idx="151">
                  <c:v>44081</c:v>
                </c:pt>
                <c:pt idx="152">
                  <c:v>44080</c:v>
                </c:pt>
                <c:pt idx="153">
                  <c:v>44079</c:v>
                </c:pt>
                <c:pt idx="154">
                  <c:v>44078</c:v>
                </c:pt>
                <c:pt idx="155">
                  <c:v>44077</c:v>
                </c:pt>
                <c:pt idx="156">
                  <c:v>44076</c:v>
                </c:pt>
                <c:pt idx="157">
                  <c:v>44075</c:v>
                </c:pt>
                <c:pt idx="158">
                  <c:v>44074</c:v>
                </c:pt>
                <c:pt idx="159">
                  <c:v>44073</c:v>
                </c:pt>
                <c:pt idx="160">
                  <c:v>44072</c:v>
                </c:pt>
                <c:pt idx="161">
                  <c:v>44071</c:v>
                </c:pt>
                <c:pt idx="162">
                  <c:v>44070</c:v>
                </c:pt>
                <c:pt idx="163">
                  <c:v>44069</c:v>
                </c:pt>
                <c:pt idx="164">
                  <c:v>44068</c:v>
                </c:pt>
                <c:pt idx="165">
                  <c:v>44067</c:v>
                </c:pt>
                <c:pt idx="166">
                  <c:v>44066</c:v>
                </c:pt>
                <c:pt idx="167">
                  <c:v>44065</c:v>
                </c:pt>
                <c:pt idx="168">
                  <c:v>44064</c:v>
                </c:pt>
                <c:pt idx="169">
                  <c:v>44063</c:v>
                </c:pt>
                <c:pt idx="170">
                  <c:v>44062</c:v>
                </c:pt>
                <c:pt idx="171">
                  <c:v>44061</c:v>
                </c:pt>
                <c:pt idx="172">
                  <c:v>44060</c:v>
                </c:pt>
                <c:pt idx="173">
                  <c:v>44059</c:v>
                </c:pt>
                <c:pt idx="174">
                  <c:v>44058</c:v>
                </c:pt>
                <c:pt idx="175">
                  <c:v>44057</c:v>
                </c:pt>
                <c:pt idx="176">
                  <c:v>44056</c:v>
                </c:pt>
                <c:pt idx="177">
                  <c:v>44055</c:v>
                </c:pt>
                <c:pt idx="178">
                  <c:v>44054</c:v>
                </c:pt>
                <c:pt idx="179">
                  <c:v>44053</c:v>
                </c:pt>
                <c:pt idx="180">
                  <c:v>44052</c:v>
                </c:pt>
                <c:pt idx="181">
                  <c:v>44051</c:v>
                </c:pt>
                <c:pt idx="182">
                  <c:v>44050</c:v>
                </c:pt>
                <c:pt idx="183">
                  <c:v>44049</c:v>
                </c:pt>
                <c:pt idx="184">
                  <c:v>44048</c:v>
                </c:pt>
                <c:pt idx="185">
                  <c:v>44047</c:v>
                </c:pt>
                <c:pt idx="186">
                  <c:v>44046</c:v>
                </c:pt>
                <c:pt idx="187">
                  <c:v>44045</c:v>
                </c:pt>
                <c:pt idx="188">
                  <c:v>44044</c:v>
                </c:pt>
                <c:pt idx="189">
                  <c:v>44043</c:v>
                </c:pt>
                <c:pt idx="190">
                  <c:v>44042</c:v>
                </c:pt>
                <c:pt idx="191">
                  <c:v>44041</c:v>
                </c:pt>
                <c:pt idx="192">
                  <c:v>44040</c:v>
                </c:pt>
                <c:pt idx="193">
                  <c:v>44039</c:v>
                </c:pt>
                <c:pt idx="194">
                  <c:v>44038</c:v>
                </c:pt>
                <c:pt idx="195">
                  <c:v>44037</c:v>
                </c:pt>
                <c:pt idx="196">
                  <c:v>44036</c:v>
                </c:pt>
                <c:pt idx="197">
                  <c:v>44035</c:v>
                </c:pt>
                <c:pt idx="198">
                  <c:v>44034</c:v>
                </c:pt>
                <c:pt idx="199">
                  <c:v>44033</c:v>
                </c:pt>
                <c:pt idx="200">
                  <c:v>44032</c:v>
                </c:pt>
                <c:pt idx="201">
                  <c:v>44031</c:v>
                </c:pt>
                <c:pt idx="202">
                  <c:v>44030</c:v>
                </c:pt>
                <c:pt idx="203">
                  <c:v>44029</c:v>
                </c:pt>
                <c:pt idx="204">
                  <c:v>44028</c:v>
                </c:pt>
                <c:pt idx="205">
                  <c:v>44027</c:v>
                </c:pt>
                <c:pt idx="206">
                  <c:v>44026</c:v>
                </c:pt>
                <c:pt idx="207">
                  <c:v>44025</c:v>
                </c:pt>
                <c:pt idx="208">
                  <c:v>44024</c:v>
                </c:pt>
                <c:pt idx="209">
                  <c:v>44023</c:v>
                </c:pt>
                <c:pt idx="210">
                  <c:v>44022</c:v>
                </c:pt>
                <c:pt idx="211">
                  <c:v>44021</c:v>
                </c:pt>
                <c:pt idx="212">
                  <c:v>44020</c:v>
                </c:pt>
                <c:pt idx="213">
                  <c:v>44019</c:v>
                </c:pt>
                <c:pt idx="214">
                  <c:v>44018</c:v>
                </c:pt>
                <c:pt idx="215">
                  <c:v>44017</c:v>
                </c:pt>
                <c:pt idx="216">
                  <c:v>44016</c:v>
                </c:pt>
                <c:pt idx="217">
                  <c:v>44015</c:v>
                </c:pt>
                <c:pt idx="218">
                  <c:v>44014</c:v>
                </c:pt>
                <c:pt idx="219">
                  <c:v>44013</c:v>
                </c:pt>
                <c:pt idx="220">
                  <c:v>44012</c:v>
                </c:pt>
                <c:pt idx="221">
                  <c:v>44011</c:v>
                </c:pt>
                <c:pt idx="222">
                  <c:v>44010</c:v>
                </c:pt>
                <c:pt idx="223">
                  <c:v>44009</c:v>
                </c:pt>
                <c:pt idx="224">
                  <c:v>44008</c:v>
                </c:pt>
                <c:pt idx="225">
                  <c:v>44007</c:v>
                </c:pt>
                <c:pt idx="226">
                  <c:v>44006</c:v>
                </c:pt>
                <c:pt idx="227">
                  <c:v>44005</c:v>
                </c:pt>
                <c:pt idx="228">
                  <c:v>44004</c:v>
                </c:pt>
                <c:pt idx="229">
                  <c:v>44003</c:v>
                </c:pt>
                <c:pt idx="230">
                  <c:v>44002</c:v>
                </c:pt>
                <c:pt idx="231">
                  <c:v>44001</c:v>
                </c:pt>
                <c:pt idx="232">
                  <c:v>44000</c:v>
                </c:pt>
                <c:pt idx="233">
                  <c:v>43999</c:v>
                </c:pt>
                <c:pt idx="234">
                  <c:v>43998</c:v>
                </c:pt>
                <c:pt idx="235">
                  <c:v>43997</c:v>
                </c:pt>
                <c:pt idx="236">
                  <c:v>43996</c:v>
                </c:pt>
                <c:pt idx="237">
                  <c:v>43995</c:v>
                </c:pt>
                <c:pt idx="238">
                  <c:v>43994</c:v>
                </c:pt>
                <c:pt idx="239">
                  <c:v>43993</c:v>
                </c:pt>
                <c:pt idx="240">
                  <c:v>43992</c:v>
                </c:pt>
                <c:pt idx="241">
                  <c:v>43991</c:v>
                </c:pt>
                <c:pt idx="242">
                  <c:v>43990</c:v>
                </c:pt>
                <c:pt idx="243">
                  <c:v>43989</c:v>
                </c:pt>
                <c:pt idx="244">
                  <c:v>43988</c:v>
                </c:pt>
                <c:pt idx="245">
                  <c:v>43987</c:v>
                </c:pt>
                <c:pt idx="246">
                  <c:v>43986</c:v>
                </c:pt>
                <c:pt idx="247">
                  <c:v>43985</c:v>
                </c:pt>
                <c:pt idx="248">
                  <c:v>43984</c:v>
                </c:pt>
                <c:pt idx="249">
                  <c:v>43983</c:v>
                </c:pt>
                <c:pt idx="250">
                  <c:v>43982</c:v>
                </c:pt>
                <c:pt idx="251">
                  <c:v>43981</c:v>
                </c:pt>
                <c:pt idx="252">
                  <c:v>43980</c:v>
                </c:pt>
                <c:pt idx="253">
                  <c:v>43979</c:v>
                </c:pt>
                <c:pt idx="254">
                  <c:v>43978</c:v>
                </c:pt>
                <c:pt idx="255">
                  <c:v>43977</c:v>
                </c:pt>
                <c:pt idx="256">
                  <c:v>43976</c:v>
                </c:pt>
                <c:pt idx="257">
                  <c:v>43975</c:v>
                </c:pt>
                <c:pt idx="258">
                  <c:v>43974</c:v>
                </c:pt>
                <c:pt idx="259">
                  <c:v>43973</c:v>
                </c:pt>
                <c:pt idx="260">
                  <c:v>43972</c:v>
                </c:pt>
                <c:pt idx="261">
                  <c:v>43971</c:v>
                </c:pt>
                <c:pt idx="262">
                  <c:v>43970</c:v>
                </c:pt>
                <c:pt idx="263">
                  <c:v>43969</c:v>
                </c:pt>
                <c:pt idx="264">
                  <c:v>43968</c:v>
                </c:pt>
                <c:pt idx="265">
                  <c:v>43967</c:v>
                </c:pt>
                <c:pt idx="266">
                  <c:v>43966</c:v>
                </c:pt>
                <c:pt idx="267">
                  <c:v>43965</c:v>
                </c:pt>
                <c:pt idx="268">
                  <c:v>43964</c:v>
                </c:pt>
                <c:pt idx="269">
                  <c:v>43963</c:v>
                </c:pt>
                <c:pt idx="270">
                  <c:v>43962</c:v>
                </c:pt>
                <c:pt idx="271">
                  <c:v>43961</c:v>
                </c:pt>
                <c:pt idx="272">
                  <c:v>43960</c:v>
                </c:pt>
                <c:pt idx="273">
                  <c:v>43959</c:v>
                </c:pt>
                <c:pt idx="274">
                  <c:v>43958</c:v>
                </c:pt>
                <c:pt idx="275">
                  <c:v>43957</c:v>
                </c:pt>
                <c:pt idx="276">
                  <c:v>43956</c:v>
                </c:pt>
                <c:pt idx="277">
                  <c:v>43955</c:v>
                </c:pt>
                <c:pt idx="278">
                  <c:v>43954</c:v>
                </c:pt>
                <c:pt idx="279">
                  <c:v>43953</c:v>
                </c:pt>
                <c:pt idx="280">
                  <c:v>43952</c:v>
                </c:pt>
                <c:pt idx="281">
                  <c:v>43951</c:v>
                </c:pt>
                <c:pt idx="282">
                  <c:v>43950</c:v>
                </c:pt>
                <c:pt idx="283">
                  <c:v>43949</c:v>
                </c:pt>
                <c:pt idx="284">
                  <c:v>43948</c:v>
                </c:pt>
                <c:pt idx="285">
                  <c:v>43947</c:v>
                </c:pt>
              </c:numCache>
            </c:numRef>
          </c:cat>
          <c:val>
            <c:numRef>
              <c:f>A!$AC$11:$AC$296</c:f>
              <c:numCache>
                <c:formatCode>#,##0</c:formatCode>
                <c:ptCount val="286"/>
                <c:pt idx="0">
                  <c:v>178994.96412586753</c:v>
                </c:pt>
                <c:pt idx="1">
                  <c:v>177296.99345382882</c:v>
                </c:pt>
                <c:pt idx="2">
                  <c:v>175846.09973956406</c:v>
                </c:pt>
                <c:pt idx="3">
                  <c:v>174713.26549960088</c:v>
                </c:pt>
                <c:pt idx="4">
                  <c:v>173328.69901669738</c:v>
                </c:pt>
                <c:pt idx="5">
                  <c:v>172032.61264322104</c:v>
                </c:pt>
                <c:pt idx="6">
                  <c:v>170529.45138329745</c:v>
                </c:pt>
                <c:pt idx="7">
                  <c:v>167915.46592886068</c:v>
                </c:pt>
                <c:pt idx="8">
                  <c:v>167054.22202016893</c:v>
                </c:pt>
                <c:pt idx="9">
                  <c:v>166020.32979871094</c:v>
                </c:pt>
                <c:pt idx="10">
                  <c:v>163692.35126829272</c:v>
                </c:pt>
                <c:pt idx="11">
                  <c:v>161845.86283126104</c:v>
                </c:pt>
                <c:pt idx="12">
                  <c:v>160395.9069239737</c:v>
                </c:pt>
                <c:pt idx="13">
                  <c:v>158909.39750291276</c:v>
                </c:pt>
                <c:pt idx="14">
                  <c:v>158431.47906842263</c:v>
                </c:pt>
                <c:pt idx="15">
                  <c:v>158144.73874921497</c:v>
                </c:pt>
                <c:pt idx="16">
                  <c:v>159060.51528045759</c:v>
                </c:pt>
                <c:pt idx="17">
                  <c:v>160176.19496745034</c:v>
                </c:pt>
                <c:pt idx="18">
                  <c:v>160207.6420623931</c:v>
                </c:pt>
                <c:pt idx="19">
                  <c:v>160073.79965668896</c:v>
                </c:pt>
                <c:pt idx="20">
                  <c:v>161078.11900329529</c:v>
                </c:pt>
                <c:pt idx="21">
                  <c:v>163005.88462506313</c:v>
                </c:pt>
                <c:pt idx="22">
                  <c:v>166433.79990417013</c:v>
                </c:pt>
                <c:pt idx="23">
                  <c:v>171047.56517356794</c:v>
                </c:pt>
                <c:pt idx="24">
                  <c:v>175684.81317480118</c:v>
                </c:pt>
                <c:pt idx="25">
                  <c:v>181537.68996941388</c:v>
                </c:pt>
                <c:pt idx="26">
                  <c:v>187872.0549716246</c:v>
                </c:pt>
                <c:pt idx="27">
                  <c:v>192765.56716378653</c:v>
                </c:pt>
                <c:pt idx="28">
                  <c:v>195077.88236052738</c:v>
                </c:pt>
                <c:pt idx="29">
                  <c:v>193289.66404399072</c:v>
                </c:pt>
                <c:pt idx="30">
                  <c:v>190321.15841542985</c:v>
                </c:pt>
                <c:pt idx="31">
                  <c:v>186355.75754680581</c:v>
                </c:pt>
                <c:pt idx="32">
                  <c:v>180408.23759170822</c:v>
                </c:pt>
                <c:pt idx="33">
                  <c:v>172817.36865477671</c:v>
                </c:pt>
                <c:pt idx="34">
                  <c:v>165393.26526332129</c:v>
                </c:pt>
                <c:pt idx="35">
                  <c:v>159384.41211242339</c:v>
                </c:pt>
                <c:pt idx="36">
                  <c:v>153826.62742650343</c:v>
                </c:pt>
                <c:pt idx="37">
                  <c:v>147912.94872350001</c:v>
                </c:pt>
                <c:pt idx="38">
                  <c:v>140464.23350361254</c:v>
                </c:pt>
                <c:pt idx="39">
                  <c:v>132745.05858071276</c:v>
                </c:pt>
                <c:pt idx="40">
                  <c:v>126347.60483040033</c:v>
                </c:pt>
                <c:pt idx="41">
                  <c:v>119125.16218460107</c:v>
                </c:pt>
                <c:pt idx="42">
                  <c:v>112612.93810741061</c:v>
                </c:pt>
                <c:pt idx="43">
                  <c:v>111018.48716215616</c:v>
                </c:pt>
                <c:pt idx="44">
                  <c:v>110770.35404733145</c:v>
                </c:pt>
                <c:pt idx="45">
                  <c:v>111395.30561407063</c:v>
                </c:pt>
                <c:pt idx="46">
                  <c:v>111770.97414526659</c:v>
                </c:pt>
                <c:pt idx="47">
                  <c:v>111295.60541558941</c:v>
                </c:pt>
                <c:pt idx="48">
                  <c:v>110754.7897991814</c:v>
                </c:pt>
                <c:pt idx="49">
                  <c:v>110583.34071473707</c:v>
                </c:pt>
                <c:pt idx="50">
                  <c:v>109771.30558340512</c:v>
                </c:pt>
                <c:pt idx="51">
                  <c:v>108192.64375550018</c:v>
                </c:pt>
                <c:pt idx="52">
                  <c:v>105798.5920884153</c:v>
                </c:pt>
                <c:pt idx="53">
                  <c:v>103232.23692807094</c:v>
                </c:pt>
                <c:pt idx="54">
                  <c:v>100360.89844375788</c:v>
                </c:pt>
                <c:pt idx="55">
                  <c:v>97624.09141870412</c:v>
                </c:pt>
                <c:pt idx="56">
                  <c:v>94588.092116697066</c:v>
                </c:pt>
                <c:pt idx="57">
                  <c:v>91202.145216279343</c:v>
                </c:pt>
                <c:pt idx="58">
                  <c:v>87776.802123986679</c:v>
                </c:pt>
                <c:pt idx="59">
                  <c:v>84427.85302194237</c:v>
                </c:pt>
                <c:pt idx="60">
                  <c:v>79344.695101245889</c:v>
                </c:pt>
                <c:pt idx="61">
                  <c:v>75528.806362438321</c:v>
                </c:pt>
                <c:pt idx="62">
                  <c:v>72489.721641454351</c:v>
                </c:pt>
                <c:pt idx="63">
                  <c:v>69545.943004514018</c:v>
                </c:pt>
                <c:pt idx="64">
                  <c:v>66812.477996568399</c:v>
                </c:pt>
                <c:pt idx="65">
                  <c:v>64181.303181234194</c:v>
                </c:pt>
                <c:pt idx="66">
                  <c:v>61312.994071954607</c:v>
                </c:pt>
                <c:pt idx="67">
                  <c:v>59426.437433894222</c:v>
                </c:pt>
                <c:pt idx="68">
                  <c:v>56925.613401030991</c:v>
                </c:pt>
                <c:pt idx="69">
                  <c:v>54722.411750357547</c:v>
                </c:pt>
                <c:pt idx="70">
                  <c:v>51981.30588235132</c:v>
                </c:pt>
                <c:pt idx="71">
                  <c:v>49906.412415084247</c:v>
                </c:pt>
                <c:pt idx="72">
                  <c:v>48569.002586978619</c:v>
                </c:pt>
                <c:pt idx="73">
                  <c:v>48177.447942425264</c:v>
                </c:pt>
                <c:pt idx="74">
                  <c:v>47531.120414354504</c:v>
                </c:pt>
                <c:pt idx="75">
                  <c:v>46708.795567747562</c:v>
                </c:pt>
                <c:pt idx="76">
                  <c:v>46038.841165079088</c:v>
                </c:pt>
                <c:pt idx="77">
                  <c:v>46085.41541622908</c:v>
                </c:pt>
                <c:pt idx="78">
                  <c:v>46419.341755218113</c:v>
                </c:pt>
                <c:pt idx="79">
                  <c:v>45921.367733453524</c:v>
                </c:pt>
                <c:pt idx="80">
                  <c:v>45372.370727938782</c:v>
                </c:pt>
                <c:pt idx="81">
                  <c:v>44875.700270963403</c:v>
                </c:pt>
                <c:pt idx="82">
                  <c:v>45444.83675388417</c:v>
                </c:pt>
                <c:pt idx="83">
                  <c:v>46159.078476388284</c:v>
                </c:pt>
                <c:pt idx="84">
                  <c:v>47009.821124168986</c:v>
                </c:pt>
                <c:pt idx="85">
                  <c:v>47618.197748734689</c:v>
                </c:pt>
                <c:pt idx="86">
                  <c:v>48691.009998865789</c:v>
                </c:pt>
                <c:pt idx="87">
                  <c:v>49152.670152223713</c:v>
                </c:pt>
                <c:pt idx="88">
                  <c:v>48520.353964731541</c:v>
                </c:pt>
                <c:pt idx="89">
                  <c:v>46927.700457943414</c:v>
                </c:pt>
                <c:pt idx="90">
                  <c:v>44447.147633738496</c:v>
                </c:pt>
                <c:pt idx="91">
                  <c:v>41375.155565700079</c:v>
                </c:pt>
                <c:pt idx="92">
                  <c:v>38069.185656980771</c:v>
                </c:pt>
                <c:pt idx="93">
                  <c:v>34356.151086097583</c:v>
                </c:pt>
                <c:pt idx="94">
                  <c:v>30410.847217843202</c:v>
                </c:pt>
                <c:pt idx="95">
                  <c:v>27490.46642428491</c:v>
                </c:pt>
                <c:pt idx="96">
                  <c:v>24995.452691154573</c:v>
                </c:pt>
                <c:pt idx="97">
                  <c:v>24249.131829460628</c:v>
                </c:pt>
                <c:pt idx="98">
                  <c:v>23700.084083085218</c:v>
                </c:pt>
                <c:pt idx="99">
                  <c:v>23075.514030503356</c:v>
                </c:pt>
                <c:pt idx="100">
                  <c:v>22395.584341688023</c:v>
                </c:pt>
                <c:pt idx="101">
                  <c:v>21858.166919557771</c:v>
                </c:pt>
                <c:pt idx="102">
                  <c:v>20862.098974385121</c:v>
                </c:pt>
                <c:pt idx="103">
                  <c:v>20471.610960394257</c:v>
                </c:pt>
                <c:pt idx="104">
                  <c:v>19361.895820305621</c:v>
                </c:pt>
                <c:pt idx="105">
                  <c:v>18308.44724085875</c:v>
                </c:pt>
                <c:pt idx="106">
                  <c:v>17021.918899081091</c:v>
                </c:pt>
                <c:pt idx="107">
                  <c:v>16211.604577813112</c:v>
                </c:pt>
                <c:pt idx="108">
                  <c:v>15338.766461793546</c:v>
                </c:pt>
                <c:pt idx="109">
                  <c:v>15376.205012906667</c:v>
                </c:pt>
                <c:pt idx="110">
                  <c:v>15086.314486310268</c:v>
                </c:pt>
                <c:pt idx="111">
                  <c:v>15273.257882299138</c:v>
                </c:pt>
                <c:pt idx="112">
                  <c:v>15625.037754116456</c:v>
                </c:pt>
                <c:pt idx="113">
                  <c:v>15932.505230944424</c:v>
                </c:pt>
                <c:pt idx="114">
                  <c:v>16115.962567003638</c:v>
                </c:pt>
                <c:pt idx="115">
                  <c:v>16599.195067191962</c:v>
                </c:pt>
                <c:pt idx="116">
                  <c:v>16020.979838205129</c:v>
                </c:pt>
                <c:pt idx="117">
                  <c:v>15598.591130209761</c:v>
                </c:pt>
                <c:pt idx="118">
                  <c:v>15412.160726974327</c:v>
                </c:pt>
                <c:pt idx="119">
                  <c:v>14658.698196720103</c:v>
                </c:pt>
                <c:pt idx="120">
                  <c:v>13833.773346908076</c:v>
                </c:pt>
                <c:pt idx="121">
                  <c:v>12930.603667595356</c:v>
                </c:pt>
                <c:pt idx="122">
                  <c:v>12075.379557533532</c:v>
                </c:pt>
                <c:pt idx="123">
                  <c:v>11205.602163669262</c:v>
                </c:pt>
                <c:pt idx="124">
                  <c:v>10312.480175825114</c:v>
                </c:pt>
                <c:pt idx="125">
                  <c:v>9337.3215700608125</c:v>
                </c:pt>
                <c:pt idx="126">
                  <c:v>8590.6001282524521</c:v>
                </c:pt>
                <c:pt idx="127">
                  <c:v>8051.1513973649671</c:v>
                </c:pt>
                <c:pt idx="128">
                  <c:v>7571.7565684203582</c:v>
                </c:pt>
                <c:pt idx="129">
                  <c:v>7060.1509922967871</c:v>
                </c:pt>
                <c:pt idx="130">
                  <c:v>6386.2386689761506</c:v>
                </c:pt>
                <c:pt idx="131">
                  <c:v>5492.7291452252766</c:v>
                </c:pt>
                <c:pt idx="132">
                  <c:v>4721.727131724816</c:v>
                </c:pt>
                <c:pt idx="133">
                  <c:v>4233.0125591849564</c:v>
                </c:pt>
                <c:pt idx="134">
                  <c:v>3803.7384151217298</c:v>
                </c:pt>
                <c:pt idx="135">
                  <c:v>3360.3440530394096</c:v>
                </c:pt>
                <c:pt idx="136">
                  <c:v>2955.6736381350806</c:v>
                </c:pt>
                <c:pt idx="137">
                  <c:v>2866.0998770792294</c:v>
                </c:pt>
                <c:pt idx="138">
                  <c:v>2899.7840410037775</c:v>
                </c:pt>
                <c:pt idx="139">
                  <c:v>3066.5591256824009</c:v>
                </c:pt>
                <c:pt idx="140">
                  <c:v>3204.7277086873228</c:v>
                </c:pt>
                <c:pt idx="141">
                  <c:v>3280.8530616790267</c:v>
                </c:pt>
                <c:pt idx="142">
                  <c:v>3642.4776130819318</c:v>
                </c:pt>
                <c:pt idx="143">
                  <c:v>3934.6400671598717</c:v>
                </c:pt>
                <c:pt idx="144">
                  <c:v>4058.2468822387168</c:v>
                </c:pt>
                <c:pt idx="145">
                  <c:v>4100.8728743994143</c:v>
                </c:pt>
                <c:pt idx="146">
                  <c:v>4223.8891537192758</c:v>
                </c:pt>
                <c:pt idx="147">
                  <c:v>4409.7058622948998</c:v>
                </c:pt>
                <c:pt idx="148">
                  <c:v>4553.8777039154802</c:v>
                </c:pt>
                <c:pt idx="149">
                  <c:v>4447.2958794676488</c:v>
                </c:pt>
                <c:pt idx="150">
                  <c:v>4424.386011663446</c:v>
                </c:pt>
                <c:pt idx="151">
                  <c:v>4440.8332914726643</c:v>
                </c:pt>
                <c:pt idx="152">
                  <c:v>4604.0297099219197</c:v>
                </c:pt>
                <c:pt idx="153">
                  <c:v>4865.1563076756565</c:v>
                </c:pt>
                <c:pt idx="154">
                  <c:v>4892.4525249810531</c:v>
                </c:pt>
                <c:pt idx="155">
                  <c:v>4955.8507566091721</c:v>
                </c:pt>
                <c:pt idx="156">
                  <c:v>5140.165398484357</c:v>
                </c:pt>
                <c:pt idx="157">
                  <c:v>5133.8773088733979</c:v>
                </c:pt>
                <c:pt idx="158">
                  <c:v>5021.1942635567284</c:v>
                </c:pt>
                <c:pt idx="159">
                  <c:v>5122.672591980092</c:v>
                </c:pt>
                <c:pt idx="160">
                  <c:v>5173.6121160160947</c:v>
                </c:pt>
                <c:pt idx="161">
                  <c:v>5404.8278995537812</c:v>
                </c:pt>
                <c:pt idx="162">
                  <c:v>5760.4902310793368</c:v>
                </c:pt>
                <c:pt idx="163">
                  <c:v>5994.4567758121866</c:v>
                </c:pt>
                <c:pt idx="164">
                  <c:v>6496.0516855149135</c:v>
                </c:pt>
                <c:pt idx="165">
                  <c:v>7114.9996819432763</c:v>
                </c:pt>
                <c:pt idx="166">
                  <c:v>7426.2246988546594</c:v>
                </c:pt>
                <c:pt idx="167">
                  <c:v>7973.7563894686682</c:v>
                </c:pt>
                <c:pt idx="168">
                  <c:v>8495.3184031602559</c:v>
                </c:pt>
                <c:pt idx="169">
                  <c:v>8953.273072287835</c:v>
                </c:pt>
                <c:pt idx="170">
                  <c:v>9454.6878279216162</c:v>
                </c:pt>
                <c:pt idx="171">
                  <c:v>10021.701309042082</c:v>
                </c:pt>
                <c:pt idx="172">
                  <c:v>10660.615744900035</c:v>
                </c:pt>
                <c:pt idx="173">
                  <c:v>11168.15043200171</c:v>
                </c:pt>
                <c:pt idx="174">
                  <c:v>11793.996381204652</c:v>
                </c:pt>
                <c:pt idx="175">
                  <c:v>12284.399976800891</c:v>
                </c:pt>
                <c:pt idx="176">
                  <c:v>12737.764716037895</c:v>
                </c:pt>
                <c:pt idx="177">
                  <c:v>13382.565703107271</c:v>
                </c:pt>
                <c:pt idx="178">
                  <c:v>14136.339445956608</c:v>
                </c:pt>
                <c:pt idx="179">
                  <c:v>14350.283225791582</c:v>
                </c:pt>
                <c:pt idx="180">
                  <c:v>15210.848391751844</c:v>
                </c:pt>
                <c:pt idx="181">
                  <c:v>16001.709336593562</c:v>
                </c:pt>
                <c:pt idx="182">
                  <c:v>16700.770681509919</c:v>
                </c:pt>
                <c:pt idx="183">
                  <c:v>17538.968519721173</c:v>
                </c:pt>
                <c:pt idx="184">
                  <c:v>18346.531743062336</c:v>
                </c:pt>
                <c:pt idx="185">
                  <c:v>19096.776180971065</c:v>
                </c:pt>
                <c:pt idx="186">
                  <c:v>19971.837203155173</c:v>
                </c:pt>
                <c:pt idx="187">
                  <c:v>20018.995125538386</c:v>
                </c:pt>
                <c:pt idx="188">
                  <c:v>19731.444026529549</c:v>
                </c:pt>
                <c:pt idx="189">
                  <c:v>19591.313446738124</c:v>
                </c:pt>
                <c:pt idx="190">
                  <c:v>19451.26557783844</c:v>
                </c:pt>
                <c:pt idx="191">
                  <c:v>19316.06309641973</c:v>
                </c:pt>
                <c:pt idx="192">
                  <c:v>19564.4560537123</c:v>
                </c:pt>
                <c:pt idx="193">
                  <c:v>19743.624884696022</c:v>
                </c:pt>
                <c:pt idx="194">
                  <c:v>19925.10731134253</c:v>
                </c:pt>
                <c:pt idx="195">
                  <c:v>20440.571509562822</c:v>
                </c:pt>
                <c:pt idx="196">
                  <c:v>20615.89171146051</c:v>
                </c:pt>
                <c:pt idx="197">
                  <c:v>20949.406485873627</c:v>
                </c:pt>
                <c:pt idx="198">
                  <c:v>21218.346492856053</c:v>
                </c:pt>
                <c:pt idx="199">
                  <c:v>21331.598665974288</c:v>
                </c:pt>
                <c:pt idx="200">
                  <c:v>21494.880263103176</c:v>
                </c:pt>
                <c:pt idx="201">
                  <c:v>21205.664945782995</c:v>
                </c:pt>
                <c:pt idx="202">
                  <c:v>20801.285932482861</c:v>
                </c:pt>
                <c:pt idx="203">
                  <c:v>21119.383681022002</c:v>
                </c:pt>
                <c:pt idx="204">
                  <c:v>21429.055497443445</c:v>
                </c:pt>
                <c:pt idx="205">
                  <c:v>21437.414264230341</c:v>
                </c:pt>
                <c:pt idx="206">
                  <c:v>22098.524004439103</c:v>
                </c:pt>
                <c:pt idx="207">
                  <c:v>22359.325515859156</c:v>
                </c:pt>
                <c:pt idx="208">
                  <c:v>22654.899261722323</c:v>
                </c:pt>
                <c:pt idx="209">
                  <c:v>23021.970840271344</c:v>
                </c:pt>
                <c:pt idx="210">
                  <c:v>23459.421147709683</c:v>
                </c:pt>
                <c:pt idx="211">
                  <c:v>23919.570243131737</c:v>
                </c:pt>
                <c:pt idx="212">
                  <c:v>24556.345598027892</c:v>
                </c:pt>
                <c:pt idx="213">
                  <c:v>24997.991745709463</c:v>
                </c:pt>
                <c:pt idx="214">
                  <c:v>25420.496857863403</c:v>
                </c:pt>
                <c:pt idx="215">
                  <c:v>25402.481778144549</c:v>
                </c:pt>
                <c:pt idx="216">
                  <c:v>26140.205408138019</c:v>
                </c:pt>
                <c:pt idx="217">
                  <c:v>26474.316989640458</c:v>
                </c:pt>
                <c:pt idx="218">
                  <c:v>26684.399409830334</c:v>
                </c:pt>
                <c:pt idx="219">
                  <c:v>27135.90283935994</c:v>
                </c:pt>
                <c:pt idx="220">
                  <c:v>27346.008025170893</c:v>
                </c:pt>
                <c:pt idx="221">
                  <c:v>27466.40225080842</c:v>
                </c:pt>
                <c:pt idx="222">
                  <c:v>27930.281752143903</c:v>
                </c:pt>
                <c:pt idx="223">
                  <c:v>28420.71091556942</c:v>
                </c:pt>
                <c:pt idx="224">
                  <c:v>28904.256160274643</c:v>
                </c:pt>
                <c:pt idx="225">
                  <c:v>29801.731502962019</c:v>
                </c:pt>
                <c:pt idx="226">
                  <c:v>31120.605287050617</c:v>
                </c:pt>
                <c:pt idx="227">
                  <c:v>32982.811991480492</c:v>
                </c:pt>
                <c:pt idx="228">
                  <c:v>34571.065222450372</c:v>
                </c:pt>
                <c:pt idx="229">
                  <c:v>36139.425538721618</c:v>
                </c:pt>
                <c:pt idx="230">
                  <c:v>37028.057180602387</c:v>
                </c:pt>
                <c:pt idx="231">
                  <c:v>37961.855475964207</c:v>
                </c:pt>
                <c:pt idx="232">
                  <c:v>39064.08112153913</c:v>
                </c:pt>
                <c:pt idx="233">
                  <c:v>39694.596523485539</c:v>
                </c:pt>
                <c:pt idx="234">
                  <c:v>40268.559593659375</c:v>
                </c:pt>
                <c:pt idx="235">
                  <c:v>41098.968056639642</c:v>
                </c:pt>
                <c:pt idx="236">
                  <c:v>41616.251190820803</c:v>
                </c:pt>
                <c:pt idx="237">
                  <c:v>42995.366342975547</c:v>
                </c:pt>
                <c:pt idx="238">
                  <c:v>44705.744939743447</c:v>
                </c:pt>
                <c:pt idx="239">
                  <c:v>46467.019698421376</c:v>
                </c:pt>
                <c:pt idx="240">
                  <c:v>48544.731639280908</c:v>
                </c:pt>
                <c:pt idx="241">
                  <c:v>50441.10342834294</c:v>
                </c:pt>
                <c:pt idx="242">
                  <c:v>52307.559085725457</c:v>
                </c:pt>
                <c:pt idx="243">
                  <c:v>53782.931381132817</c:v>
                </c:pt>
                <c:pt idx="244">
                  <c:v>55241.015875800062</c:v>
                </c:pt>
                <c:pt idx="245">
                  <c:v>56337.145604829027</c:v>
                </c:pt>
                <c:pt idx="246">
                  <c:v>58116.052353899773</c:v>
                </c:pt>
                <c:pt idx="247">
                  <c:v>59684.970937578939</c:v>
                </c:pt>
                <c:pt idx="248">
                  <c:v>61167.719451175166</c:v>
                </c:pt>
                <c:pt idx="249">
                  <c:v>62605.646513483334</c:v>
                </c:pt>
                <c:pt idx="250">
                  <c:v>64940.455621439782</c:v>
                </c:pt>
                <c:pt idx="251">
                  <c:v>67343.327778917228</c:v>
                </c:pt>
                <c:pt idx="252">
                  <c:v>69910.715743129738</c:v>
                </c:pt>
                <c:pt idx="253">
                  <c:v>73220.48585117195</c:v>
                </c:pt>
                <c:pt idx="254">
                  <c:v>76465.025096563986</c:v>
                </c:pt>
                <c:pt idx="255">
                  <c:v>80215.383664212597</c:v>
                </c:pt>
                <c:pt idx="256">
                  <c:v>83416.116388973693</c:v>
                </c:pt>
                <c:pt idx="257">
                  <c:v>85957.490404532902</c:v>
                </c:pt>
                <c:pt idx="258">
                  <c:v>88861.833251482749</c:v>
                </c:pt>
                <c:pt idx="259">
                  <c:v>92080.872626605415</c:v>
                </c:pt>
                <c:pt idx="260">
                  <c:v>96044.031182834966</c:v>
                </c:pt>
                <c:pt idx="261">
                  <c:v>99662.525323789276</c:v>
                </c:pt>
                <c:pt idx="262">
                  <c:v>104924.78648873315</c:v>
                </c:pt>
                <c:pt idx="263">
                  <c:v>109707.2687987903</c:v>
                </c:pt>
                <c:pt idx="264">
                  <c:v>115105.78377955985</c:v>
                </c:pt>
                <c:pt idx="265">
                  <c:v>120022.83854280476</c:v>
                </c:pt>
                <c:pt idx="266">
                  <c:v>125162.4775879752</c:v>
                </c:pt>
                <c:pt idx="267">
                  <c:v>130202.42166129146</c:v>
                </c:pt>
                <c:pt idx="268">
                  <c:v>136627.46714117029</c:v>
                </c:pt>
                <c:pt idx="269">
                  <c:v>141918.68055646794</c:v>
                </c:pt>
                <c:pt idx="270">
                  <c:v>146166.02693311434</c:v>
                </c:pt>
                <c:pt idx="271">
                  <c:v>149964.94425697721</c:v>
                </c:pt>
                <c:pt idx="272">
                  <c:v>153763.23463786481</c:v>
                </c:pt>
                <c:pt idx="273">
                  <c:v>158270.98632221206</c:v>
                </c:pt>
                <c:pt idx="274">
                  <c:v>162553.62667950831</c:v>
                </c:pt>
                <c:pt idx="275">
                  <c:v>166869.64006827227</c:v>
                </c:pt>
                <c:pt idx="276">
                  <c:v>172374.113517433</c:v>
                </c:pt>
                <c:pt idx="277">
                  <c:v>176962.80880161334</c:v>
                </c:pt>
                <c:pt idx="278">
                  <c:v>180170.51695393655</c:v>
                </c:pt>
                <c:pt idx="279">
                  <c:v>185777.90797241853</c:v>
                </c:pt>
                <c:pt idx="280">
                  <c:v>190763.58548429483</c:v>
                </c:pt>
                <c:pt idx="281">
                  <c:v>196810.98344654901</c:v>
                </c:pt>
                <c:pt idx="282">
                  <c:v>202917.67036271701</c:v>
                </c:pt>
                <c:pt idx="283">
                  <c:v>207496.91279073004</c:v>
                </c:pt>
                <c:pt idx="284">
                  <c:v>212137.51695215161</c:v>
                </c:pt>
                <c:pt idx="285">
                  <c:v>216648.75168987445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4E-4D43-A8D9-2C8D164B0F8E}"/>
            </c:ext>
          </c:extLst>
        </c:ser>
        <c:ser>
          <c:idx val="3"/>
          <c:order val="3"/>
          <c:tx>
            <c:strRef>
              <c:f>A!$AD$10</c:f>
              <c:strCache>
                <c:ptCount val="1"/>
                <c:pt idx="0">
                  <c:v>RKI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A!$Z$11:$Z$296</c:f>
              <c:numCache>
                <c:formatCode>dd/mm/yy;@</c:formatCode>
                <c:ptCount val="286"/>
                <c:pt idx="0">
                  <c:v>44232</c:v>
                </c:pt>
                <c:pt idx="1">
                  <c:v>44231</c:v>
                </c:pt>
                <c:pt idx="2">
                  <c:v>44230</c:v>
                </c:pt>
                <c:pt idx="3">
                  <c:v>44229</c:v>
                </c:pt>
                <c:pt idx="4">
                  <c:v>44228</c:v>
                </c:pt>
                <c:pt idx="5">
                  <c:v>44227</c:v>
                </c:pt>
                <c:pt idx="6">
                  <c:v>44226</c:v>
                </c:pt>
                <c:pt idx="7">
                  <c:v>44225</c:v>
                </c:pt>
                <c:pt idx="8">
                  <c:v>44224</c:v>
                </c:pt>
                <c:pt idx="9">
                  <c:v>44223</c:v>
                </c:pt>
                <c:pt idx="10">
                  <c:v>44222</c:v>
                </c:pt>
                <c:pt idx="11">
                  <c:v>44221</c:v>
                </c:pt>
                <c:pt idx="12">
                  <c:v>44220</c:v>
                </c:pt>
                <c:pt idx="13">
                  <c:v>44219</c:v>
                </c:pt>
                <c:pt idx="14">
                  <c:v>44218</c:v>
                </c:pt>
                <c:pt idx="15">
                  <c:v>44217</c:v>
                </c:pt>
                <c:pt idx="16">
                  <c:v>44216</c:v>
                </c:pt>
                <c:pt idx="17">
                  <c:v>44215</c:v>
                </c:pt>
                <c:pt idx="18">
                  <c:v>44214</c:v>
                </c:pt>
                <c:pt idx="19">
                  <c:v>44213</c:v>
                </c:pt>
                <c:pt idx="20">
                  <c:v>44212</c:v>
                </c:pt>
                <c:pt idx="21">
                  <c:v>44211</c:v>
                </c:pt>
                <c:pt idx="22">
                  <c:v>44210</c:v>
                </c:pt>
                <c:pt idx="23">
                  <c:v>44209</c:v>
                </c:pt>
                <c:pt idx="24">
                  <c:v>44208</c:v>
                </c:pt>
                <c:pt idx="25">
                  <c:v>44207</c:v>
                </c:pt>
                <c:pt idx="26">
                  <c:v>44206</c:v>
                </c:pt>
                <c:pt idx="27">
                  <c:v>44205</c:v>
                </c:pt>
                <c:pt idx="28">
                  <c:v>44204</c:v>
                </c:pt>
                <c:pt idx="29">
                  <c:v>44203</c:v>
                </c:pt>
                <c:pt idx="30">
                  <c:v>44202</c:v>
                </c:pt>
                <c:pt idx="31">
                  <c:v>44201</c:v>
                </c:pt>
                <c:pt idx="32">
                  <c:v>44200</c:v>
                </c:pt>
                <c:pt idx="33">
                  <c:v>44199</c:v>
                </c:pt>
                <c:pt idx="34">
                  <c:v>44198</c:v>
                </c:pt>
                <c:pt idx="35">
                  <c:v>44197</c:v>
                </c:pt>
                <c:pt idx="36">
                  <c:v>44196</c:v>
                </c:pt>
                <c:pt idx="37">
                  <c:v>44195</c:v>
                </c:pt>
                <c:pt idx="38">
                  <c:v>44194</c:v>
                </c:pt>
                <c:pt idx="39">
                  <c:v>44193</c:v>
                </c:pt>
                <c:pt idx="40">
                  <c:v>44192</c:v>
                </c:pt>
                <c:pt idx="41">
                  <c:v>44191</c:v>
                </c:pt>
                <c:pt idx="42">
                  <c:v>44190</c:v>
                </c:pt>
                <c:pt idx="43">
                  <c:v>44189</c:v>
                </c:pt>
                <c:pt idx="44">
                  <c:v>44188</c:v>
                </c:pt>
                <c:pt idx="45">
                  <c:v>44187</c:v>
                </c:pt>
                <c:pt idx="46">
                  <c:v>44186</c:v>
                </c:pt>
                <c:pt idx="47">
                  <c:v>44185</c:v>
                </c:pt>
                <c:pt idx="48">
                  <c:v>44184</c:v>
                </c:pt>
                <c:pt idx="49">
                  <c:v>44183</c:v>
                </c:pt>
                <c:pt idx="50">
                  <c:v>44182</c:v>
                </c:pt>
                <c:pt idx="51">
                  <c:v>44181</c:v>
                </c:pt>
                <c:pt idx="52">
                  <c:v>44180</c:v>
                </c:pt>
                <c:pt idx="53">
                  <c:v>44179</c:v>
                </c:pt>
                <c:pt idx="54">
                  <c:v>44178</c:v>
                </c:pt>
                <c:pt idx="55">
                  <c:v>44177</c:v>
                </c:pt>
                <c:pt idx="56">
                  <c:v>44176</c:v>
                </c:pt>
                <c:pt idx="57">
                  <c:v>44175</c:v>
                </c:pt>
                <c:pt idx="58">
                  <c:v>44174</c:v>
                </c:pt>
                <c:pt idx="59">
                  <c:v>44173</c:v>
                </c:pt>
                <c:pt idx="60">
                  <c:v>44172</c:v>
                </c:pt>
                <c:pt idx="61">
                  <c:v>44171</c:v>
                </c:pt>
                <c:pt idx="62">
                  <c:v>44170</c:v>
                </c:pt>
                <c:pt idx="63">
                  <c:v>44169</c:v>
                </c:pt>
                <c:pt idx="64">
                  <c:v>44168</c:v>
                </c:pt>
                <c:pt idx="65">
                  <c:v>44167</c:v>
                </c:pt>
                <c:pt idx="66">
                  <c:v>44166</c:v>
                </c:pt>
                <c:pt idx="67">
                  <c:v>44165</c:v>
                </c:pt>
                <c:pt idx="68">
                  <c:v>44164</c:v>
                </c:pt>
                <c:pt idx="69">
                  <c:v>44163</c:v>
                </c:pt>
                <c:pt idx="70">
                  <c:v>44162</c:v>
                </c:pt>
                <c:pt idx="71">
                  <c:v>44161</c:v>
                </c:pt>
                <c:pt idx="72">
                  <c:v>44160</c:v>
                </c:pt>
                <c:pt idx="73">
                  <c:v>44159</c:v>
                </c:pt>
                <c:pt idx="74">
                  <c:v>44158</c:v>
                </c:pt>
                <c:pt idx="75">
                  <c:v>44157</c:v>
                </c:pt>
                <c:pt idx="76">
                  <c:v>44156</c:v>
                </c:pt>
                <c:pt idx="77">
                  <c:v>44155</c:v>
                </c:pt>
                <c:pt idx="78">
                  <c:v>44154</c:v>
                </c:pt>
                <c:pt idx="79">
                  <c:v>44153</c:v>
                </c:pt>
                <c:pt idx="80">
                  <c:v>44152</c:v>
                </c:pt>
                <c:pt idx="81">
                  <c:v>44151</c:v>
                </c:pt>
                <c:pt idx="82">
                  <c:v>44150</c:v>
                </c:pt>
                <c:pt idx="83">
                  <c:v>44149</c:v>
                </c:pt>
                <c:pt idx="84">
                  <c:v>44148</c:v>
                </c:pt>
                <c:pt idx="85">
                  <c:v>44147</c:v>
                </c:pt>
                <c:pt idx="86">
                  <c:v>44146</c:v>
                </c:pt>
                <c:pt idx="87">
                  <c:v>44145</c:v>
                </c:pt>
                <c:pt idx="88">
                  <c:v>44144</c:v>
                </c:pt>
                <c:pt idx="89">
                  <c:v>44143</c:v>
                </c:pt>
                <c:pt idx="90">
                  <c:v>44142</c:v>
                </c:pt>
                <c:pt idx="91">
                  <c:v>44141</c:v>
                </c:pt>
                <c:pt idx="92">
                  <c:v>44140</c:v>
                </c:pt>
                <c:pt idx="93">
                  <c:v>44139</c:v>
                </c:pt>
                <c:pt idx="94">
                  <c:v>44138</c:v>
                </c:pt>
                <c:pt idx="95">
                  <c:v>44137</c:v>
                </c:pt>
                <c:pt idx="96">
                  <c:v>44136</c:v>
                </c:pt>
                <c:pt idx="97">
                  <c:v>44135</c:v>
                </c:pt>
                <c:pt idx="98">
                  <c:v>44134</c:v>
                </c:pt>
                <c:pt idx="99">
                  <c:v>44133</c:v>
                </c:pt>
                <c:pt idx="100">
                  <c:v>44132</c:v>
                </c:pt>
                <c:pt idx="101">
                  <c:v>44131</c:v>
                </c:pt>
                <c:pt idx="102">
                  <c:v>44130</c:v>
                </c:pt>
                <c:pt idx="103">
                  <c:v>44129</c:v>
                </c:pt>
                <c:pt idx="104">
                  <c:v>44128</c:v>
                </c:pt>
                <c:pt idx="105">
                  <c:v>44127</c:v>
                </c:pt>
                <c:pt idx="106">
                  <c:v>44126</c:v>
                </c:pt>
                <c:pt idx="107">
                  <c:v>44125</c:v>
                </c:pt>
                <c:pt idx="108">
                  <c:v>44124</c:v>
                </c:pt>
                <c:pt idx="109">
                  <c:v>44123</c:v>
                </c:pt>
                <c:pt idx="110">
                  <c:v>44122</c:v>
                </c:pt>
                <c:pt idx="111">
                  <c:v>44121</c:v>
                </c:pt>
                <c:pt idx="112">
                  <c:v>44120</c:v>
                </c:pt>
                <c:pt idx="113">
                  <c:v>44119</c:v>
                </c:pt>
                <c:pt idx="114">
                  <c:v>44118</c:v>
                </c:pt>
                <c:pt idx="115">
                  <c:v>44117</c:v>
                </c:pt>
                <c:pt idx="116">
                  <c:v>44116</c:v>
                </c:pt>
                <c:pt idx="117">
                  <c:v>44115</c:v>
                </c:pt>
                <c:pt idx="118">
                  <c:v>44114</c:v>
                </c:pt>
                <c:pt idx="119">
                  <c:v>44113</c:v>
                </c:pt>
                <c:pt idx="120">
                  <c:v>44112</c:v>
                </c:pt>
                <c:pt idx="121">
                  <c:v>44111</c:v>
                </c:pt>
                <c:pt idx="122">
                  <c:v>44110</c:v>
                </c:pt>
                <c:pt idx="123">
                  <c:v>44109</c:v>
                </c:pt>
                <c:pt idx="124">
                  <c:v>44108</c:v>
                </c:pt>
                <c:pt idx="125">
                  <c:v>44107</c:v>
                </c:pt>
                <c:pt idx="126">
                  <c:v>44106</c:v>
                </c:pt>
                <c:pt idx="127">
                  <c:v>44105</c:v>
                </c:pt>
                <c:pt idx="128">
                  <c:v>44104</c:v>
                </c:pt>
                <c:pt idx="129">
                  <c:v>44103</c:v>
                </c:pt>
                <c:pt idx="130">
                  <c:v>44102</c:v>
                </c:pt>
                <c:pt idx="131">
                  <c:v>44101</c:v>
                </c:pt>
                <c:pt idx="132">
                  <c:v>44100</c:v>
                </c:pt>
                <c:pt idx="133">
                  <c:v>44099</c:v>
                </c:pt>
                <c:pt idx="134">
                  <c:v>44098</c:v>
                </c:pt>
                <c:pt idx="135">
                  <c:v>44097</c:v>
                </c:pt>
                <c:pt idx="136">
                  <c:v>44096</c:v>
                </c:pt>
                <c:pt idx="137">
                  <c:v>44095</c:v>
                </c:pt>
                <c:pt idx="138">
                  <c:v>44094</c:v>
                </c:pt>
                <c:pt idx="139">
                  <c:v>44093</c:v>
                </c:pt>
                <c:pt idx="140">
                  <c:v>44092</c:v>
                </c:pt>
                <c:pt idx="141">
                  <c:v>44091</c:v>
                </c:pt>
                <c:pt idx="142">
                  <c:v>44090</c:v>
                </c:pt>
                <c:pt idx="143">
                  <c:v>44089</c:v>
                </c:pt>
                <c:pt idx="144">
                  <c:v>44088</c:v>
                </c:pt>
                <c:pt idx="145">
                  <c:v>44087</c:v>
                </c:pt>
                <c:pt idx="146">
                  <c:v>44086</c:v>
                </c:pt>
                <c:pt idx="147">
                  <c:v>44085</c:v>
                </c:pt>
                <c:pt idx="148">
                  <c:v>44084</c:v>
                </c:pt>
                <c:pt idx="149">
                  <c:v>44083</c:v>
                </c:pt>
                <c:pt idx="150">
                  <c:v>44082</c:v>
                </c:pt>
                <c:pt idx="151">
                  <c:v>44081</c:v>
                </c:pt>
                <c:pt idx="152">
                  <c:v>44080</c:v>
                </c:pt>
                <c:pt idx="153">
                  <c:v>44079</c:v>
                </c:pt>
                <c:pt idx="154">
                  <c:v>44078</c:v>
                </c:pt>
                <c:pt idx="155">
                  <c:v>44077</c:v>
                </c:pt>
                <c:pt idx="156">
                  <c:v>44076</c:v>
                </c:pt>
                <c:pt idx="157">
                  <c:v>44075</c:v>
                </c:pt>
                <c:pt idx="158">
                  <c:v>44074</c:v>
                </c:pt>
                <c:pt idx="159">
                  <c:v>44073</c:v>
                </c:pt>
                <c:pt idx="160">
                  <c:v>44072</c:v>
                </c:pt>
                <c:pt idx="161">
                  <c:v>44071</c:v>
                </c:pt>
                <c:pt idx="162">
                  <c:v>44070</c:v>
                </c:pt>
                <c:pt idx="163">
                  <c:v>44069</c:v>
                </c:pt>
                <c:pt idx="164">
                  <c:v>44068</c:v>
                </c:pt>
                <c:pt idx="165">
                  <c:v>44067</c:v>
                </c:pt>
                <c:pt idx="166">
                  <c:v>44066</c:v>
                </c:pt>
                <c:pt idx="167">
                  <c:v>44065</c:v>
                </c:pt>
                <c:pt idx="168">
                  <c:v>44064</c:v>
                </c:pt>
                <c:pt idx="169">
                  <c:v>44063</c:v>
                </c:pt>
                <c:pt idx="170">
                  <c:v>44062</c:v>
                </c:pt>
                <c:pt idx="171">
                  <c:v>44061</c:v>
                </c:pt>
                <c:pt idx="172">
                  <c:v>44060</c:v>
                </c:pt>
                <c:pt idx="173">
                  <c:v>44059</c:v>
                </c:pt>
                <c:pt idx="174">
                  <c:v>44058</c:v>
                </c:pt>
                <c:pt idx="175">
                  <c:v>44057</c:v>
                </c:pt>
                <c:pt idx="176">
                  <c:v>44056</c:v>
                </c:pt>
                <c:pt idx="177">
                  <c:v>44055</c:v>
                </c:pt>
                <c:pt idx="178">
                  <c:v>44054</c:v>
                </c:pt>
                <c:pt idx="179">
                  <c:v>44053</c:v>
                </c:pt>
                <c:pt idx="180">
                  <c:v>44052</c:v>
                </c:pt>
                <c:pt idx="181">
                  <c:v>44051</c:v>
                </c:pt>
                <c:pt idx="182">
                  <c:v>44050</c:v>
                </c:pt>
                <c:pt idx="183">
                  <c:v>44049</c:v>
                </c:pt>
                <c:pt idx="184">
                  <c:v>44048</c:v>
                </c:pt>
                <c:pt idx="185">
                  <c:v>44047</c:v>
                </c:pt>
                <c:pt idx="186">
                  <c:v>44046</c:v>
                </c:pt>
                <c:pt idx="187">
                  <c:v>44045</c:v>
                </c:pt>
                <c:pt idx="188">
                  <c:v>44044</c:v>
                </c:pt>
                <c:pt idx="189">
                  <c:v>44043</c:v>
                </c:pt>
                <c:pt idx="190">
                  <c:v>44042</c:v>
                </c:pt>
                <c:pt idx="191">
                  <c:v>44041</c:v>
                </c:pt>
                <c:pt idx="192">
                  <c:v>44040</c:v>
                </c:pt>
                <c:pt idx="193">
                  <c:v>44039</c:v>
                </c:pt>
                <c:pt idx="194">
                  <c:v>44038</c:v>
                </c:pt>
                <c:pt idx="195">
                  <c:v>44037</c:v>
                </c:pt>
                <c:pt idx="196">
                  <c:v>44036</c:v>
                </c:pt>
                <c:pt idx="197">
                  <c:v>44035</c:v>
                </c:pt>
                <c:pt idx="198">
                  <c:v>44034</c:v>
                </c:pt>
                <c:pt idx="199">
                  <c:v>44033</c:v>
                </c:pt>
                <c:pt idx="200">
                  <c:v>44032</c:v>
                </c:pt>
                <c:pt idx="201">
                  <c:v>44031</c:v>
                </c:pt>
                <c:pt idx="202">
                  <c:v>44030</c:v>
                </c:pt>
                <c:pt idx="203">
                  <c:v>44029</c:v>
                </c:pt>
                <c:pt idx="204">
                  <c:v>44028</c:v>
                </c:pt>
                <c:pt idx="205">
                  <c:v>44027</c:v>
                </c:pt>
                <c:pt idx="206">
                  <c:v>44026</c:v>
                </c:pt>
                <c:pt idx="207">
                  <c:v>44025</c:v>
                </c:pt>
                <c:pt idx="208">
                  <c:v>44024</c:v>
                </c:pt>
                <c:pt idx="209">
                  <c:v>44023</c:v>
                </c:pt>
                <c:pt idx="210">
                  <c:v>44022</c:v>
                </c:pt>
                <c:pt idx="211">
                  <c:v>44021</c:v>
                </c:pt>
                <c:pt idx="212">
                  <c:v>44020</c:v>
                </c:pt>
                <c:pt idx="213">
                  <c:v>44019</c:v>
                </c:pt>
                <c:pt idx="214">
                  <c:v>44018</c:v>
                </c:pt>
                <c:pt idx="215">
                  <c:v>44017</c:v>
                </c:pt>
                <c:pt idx="216">
                  <c:v>44016</c:v>
                </c:pt>
                <c:pt idx="217">
                  <c:v>44015</c:v>
                </c:pt>
                <c:pt idx="218">
                  <c:v>44014</c:v>
                </c:pt>
                <c:pt idx="219">
                  <c:v>44013</c:v>
                </c:pt>
                <c:pt idx="220">
                  <c:v>44012</c:v>
                </c:pt>
                <c:pt idx="221">
                  <c:v>44011</c:v>
                </c:pt>
                <c:pt idx="222">
                  <c:v>44010</c:v>
                </c:pt>
                <c:pt idx="223">
                  <c:v>44009</c:v>
                </c:pt>
                <c:pt idx="224">
                  <c:v>44008</c:v>
                </c:pt>
                <c:pt idx="225">
                  <c:v>44007</c:v>
                </c:pt>
                <c:pt idx="226">
                  <c:v>44006</c:v>
                </c:pt>
                <c:pt idx="227">
                  <c:v>44005</c:v>
                </c:pt>
                <c:pt idx="228">
                  <c:v>44004</c:v>
                </c:pt>
                <c:pt idx="229">
                  <c:v>44003</c:v>
                </c:pt>
                <c:pt idx="230">
                  <c:v>44002</c:v>
                </c:pt>
                <c:pt idx="231">
                  <c:v>44001</c:v>
                </c:pt>
                <c:pt idx="232">
                  <c:v>44000</c:v>
                </c:pt>
                <c:pt idx="233">
                  <c:v>43999</c:v>
                </c:pt>
                <c:pt idx="234">
                  <c:v>43998</c:v>
                </c:pt>
                <c:pt idx="235">
                  <c:v>43997</c:v>
                </c:pt>
                <c:pt idx="236">
                  <c:v>43996</c:v>
                </c:pt>
                <c:pt idx="237">
                  <c:v>43995</c:v>
                </c:pt>
                <c:pt idx="238">
                  <c:v>43994</c:v>
                </c:pt>
                <c:pt idx="239">
                  <c:v>43993</c:v>
                </c:pt>
                <c:pt idx="240">
                  <c:v>43992</c:v>
                </c:pt>
                <c:pt idx="241">
                  <c:v>43991</c:v>
                </c:pt>
                <c:pt idx="242">
                  <c:v>43990</c:v>
                </c:pt>
                <c:pt idx="243">
                  <c:v>43989</c:v>
                </c:pt>
                <c:pt idx="244">
                  <c:v>43988</c:v>
                </c:pt>
                <c:pt idx="245">
                  <c:v>43987</c:v>
                </c:pt>
                <c:pt idx="246">
                  <c:v>43986</c:v>
                </c:pt>
                <c:pt idx="247">
                  <c:v>43985</c:v>
                </c:pt>
                <c:pt idx="248">
                  <c:v>43984</c:v>
                </c:pt>
                <c:pt idx="249">
                  <c:v>43983</c:v>
                </c:pt>
                <c:pt idx="250">
                  <c:v>43982</c:v>
                </c:pt>
                <c:pt idx="251">
                  <c:v>43981</c:v>
                </c:pt>
                <c:pt idx="252">
                  <c:v>43980</c:v>
                </c:pt>
                <c:pt idx="253">
                  <c:v>43979</c:v>
                </c:pt>
                <c:pt idx="254">
                  <c:v>43978</c:v>
                </c:pt>
                <c:pt idx="255">
                  <c:v>43977</c:v>
                </c:pt>
                <c:pt idx="256">
                  <c:v>43976</c:v>
                </c:pt>
                <c:pt idx="257">
                  <c:v>43975</c:v>
                </c:pt>
                <c:pt idx="258">
                  <c:v>43974</c:v>
                </c:pt>
                <c:pt idx="259">
                  <c:v>43973</c:v>
                </c:pt>
                <c:pt idx="260">
                  <c:v>43972</c:v>
                </c:pt>
                <c:pt idx="261">
                  <c:v>43971</c:v>
                </c:pt>
                <c:pt idx="262">
                  <c:v>43970</c:v>
                </c:pt>
                <c:pt idx="263">
                  <c:v>43969</c:v>
                </c:pt>
                <c:pt idx="264">
                  <c:v>43968</c:v>
                </c:pt>
                <c:pt idx="265">
                  <c:v>43967</c:v>
                </c:pt>
                <c:pt idx="266">
                  <c:v>43966</c:v>
                </c:pt>
                <c:pt idx="267">
                  <c:v>43965</c:v>
                </c:pt>
                <c:pt idx="268">
                  <c:v>43964</c:v>
                </c:pt>
                <c:pt idx="269">
                  <c:v>43963</c:v>
                </c:pt>
                <c:pt idx="270">
                  <c:v>43962</c:v>
                </c:pt>
                <c:pt idx="271">
                  <c:v>43961</c:v>
                </c:pt>
                <c:pt idx="272">
                  <c:v>43960</c:v>
                </c:pt>
                <c:pt idx="273">
                  <c:v>43959</c:v>
                </c:pt>
                <c:pt idx="274">
                  <c:v>43958</c:v>
                </c:pt>
                <c:pt idx="275">
                  <c:v>43957</c:v>
                </c:pt>
                <c:pt idx="276">
                  <c:v>43956</c:v>
                </c:pt>
                <c:pt idx="277">
                  <c:v>43955</c:v>
                </c:pt>
                <c:pt idx="278">
                  <c:v>43954</c:v>
                </c:pt>
                <c:pt idx="279">
                  <c:v>43953</c:v>
                </c:pt>
                <c:pt idx="280">
                  <c:v>43952</c:v>
                </c:pt>
                <c:pt idx="281">
                  <c:v>43951</c:v>
                </c:pt>
                <c:pt idx="282">
                  <c:v>43950</c:v>
                </c:pt>
                <c:pt idx="283">
                  <c:v>43949</c:v>
                </c:pt>
                <c:pt idx="284">
                  <c:v>43948</c:v>
                </c:pt>
                <c:pt idx="285">
                  <c:v>43947</c:v>
                </c:pt>
              </c:numCache>
            </c:numRef>
          </c:cat>
          <c:val>
            <c:numRef>
              <c:f>A!$AD$11:$AD$296</c:f>
              <c:numCache>
                <c:formatCode>#,##0</c:formatCode>
                <c:ptCount val="2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3898586.8065051548</c:v>
                </c:pt>
                <c:pt idx="8">
                  <c:v>4103912.8612508206</c:v>
                </c:pt>
                <c:pt idx="9">
                  <c:v>4523123.4712106055</c:v>
                </c:pt>
                <c:pt idx="10">
                  <c:v>4542909.2117774142</c:v>
                </c:pt>
                <c:pt idx="11">
                  <c:v>4626556.5075632706</c:v>
                </c:pt>
                <c:pt idx="12">
                  <c:v>5019921.2028078493</c:v>
                </c:pt>
                <c:pt idx="13">
                  <c:v>4991413.190005092</c:v>
                </c:pt>
                <c:pt idx="14">
                  <c:v>5018654.8575607622</c:v>
                </c:pt>
                <c:pt idx="15">
                  <c:v>5241580.8316481244</c:v>
                </c:pt>
                <c:pt idx="16">
                  <c:v>5270703.7677386161</c:v>
                </c:pt>
                <c:pt idx="17">
                  <c:v>5440995.8337777331</c:v>
                </c:pt>
                <c:pt idx="18">
                  <c:v>5302038.3119198689</c:v>
                </c:pt>
                <c:pt idx="19">
                  <c:v>5182493.5544247972</c:v>
                </c:pt>
                <c:pt idx="20">
                  <c:v>5126176.4578271098</c:v>
                </c:pt>
                <c:pt idx="21">
                  <c:v>5070101.0164296655</c:v>
                </c:pt>
                <c:pt idx="22">
                  <c:v>4877029.235949696</c:v>
                </c:pt>
                <c:pt idx="23">
                  <c:v>4973120.7610273538</c:v>
                </c:pt>
                <c:pt idx="24">
                  <c:v>4863157.0833646553</c:v>
                </c:pt>
                <c:pt idx="25">
                  <c:v>4718558.7188913571</c:v>
                </c:pt>
                <c:pt idx="26">
                  <c:v>4789501.2515977724</c:v>
                </c:pt>
                <c:pt idx="27">
                  <c:v>4744359.0917522199</c:v>
                </c:pt>
                <c:pt idx="28">
                  <c:v>4879791.3146814145</c:v>
                </c:pt>
                <c:pt idx="29">
                  <c:v>5215537.0500027789</c:v>
                </c:pt>
                <c:pt idx="30">
                  <c:v>5659249.2568787867</c:v>
                </c:pt>
                <c:pt idx="31">
                  <c:v>6537963.1958369687</c:v>
                </c:pt>
                <c:pt idx="32">
                  <c:v>7003840.5865934053</c:v>
                </c:pt>
                <c:pt idx="33">
                  <c:v>6561950.7322182488</c:v>
                </c:pt>
                <c:pt idx="34">
                  <c:v>6701893.4840094345</c:v>
                </c:pt>
                <c:pt idx="35">
                  <c:v>6739067.2115658158</c:v>
                </c:pt>
                <c:pt idx="36">
                  <c:v>6879413.6967196846</c:v>
                </c:pt>
                <c:pt idx="37">
                  <c:v>6863912.8136174362</c:v>
                </c:pt>
                <c:pt idx="38">
                  <c:v>6646816.3427504217</c:v>
                </c:pt>
                <c:pt idx="39">
                  <c:v>6516825.5173288807</c:v>
                </c:pt>
                <c:pt idx="40">
                  <c:v>6649706.0289522139</c:v>
                </c:pt>
                <c:pt idx="41">
                  <c:v>6516846.0821088152</c:v>
                </c:pt>
                <c:pt idx="42">
                  <c:v>6042249.506043558</c:v>
                </c:pt>
                <c:pt idx="43">
                  <c:v>5034564.1494849632</c:v>
                </c:pt>
                <c:pt idx="44">
                  <c:v>4107365.4833341106</c:v>
                </c:pt>
                <c:pt idx="45">
                  <c:v>3575266.1684362502</c:v>
                </c:pt>
                <c:pt idx="46">
                  <c:v>3471009.672016067</c:v>
                </c:pt>
                <c:pt idx="47">
                  <c:v>3472871.1987773874</c:v>
                </c:pt>
                <c:pt idx="48">
                  <c:v>3934705.3821856319</c:v>
                </c:pt>
                <c:pt idx="49">
                  <c:v>4063269.069772623</c:v>
                </c:pt>
                <c:pt idx="50">
                  <c:v>4152071.2640517992</c:v>
                </c:pt>
                <c:pt idx="51">
                  <c:v>4239849.9939188492</c:v>
                </c:pt>
                <c:pt idx="52">
                  <c:v>4256946.3242063215</c:v>
                </c:pt>
                <c:pt idx="53">
                  <c:v>4371784.7574094748</c:v>
                </c:pt>
                <c:pt idx="54">
                  <c:v>4468208.1927694539</c:v>
                </c:pt>
                <c:pt idx="55">
                  <c:v>4827299.3913662173</c:v>
                </c:pt>
                <c:pt idx="56">
                  <c:v>4969501.350019427</c:v>
                </c:pt>
                <c:pt idx="57">
                  <c:v>4966896.7478751922</c:v>
                </c:pt>
                <c:pt idx="58">
                  <c:v>4919030.3621957898</c:v>
                </c:pt>
                <c:pt idx="59">
                  <c:v>3780960.3195012738</c:v>
                </c:pt>
                <c:pt idx="60">
                  <c:v>3916305.0889579812</c:v>
                </c:pt>
                <c:pt idx="61">
                  <c:v>3702462.6624177396</c:v>
                </c:pt>
                <c:pt idx="62">
                  <c:v>3744673.535415363</c:v>
                </c:pt>
                <c:pt idx="63">
                  <c:v>3656256.6587445401</c:v>
                </c:pt>
                <c:pt idx="64">
                  <c:v>3491096.185904115</c:v>
                </c:pt>
                <c:pt idx="65">
                  <c:v>3377828.949981024</c:v>
                </c:pt>
                <c:pt idx="66">
                  <c:v>3171982.5942600234</c:v>
                </c:pt>
                <c:pt idx="67">
                  <c:v>2819558.2696944391</c:v>
                </c:pt>
                <c:pt idx="68">
                  <c:v>2731222.4125843113</c:v>
                </c:pt>
                <c:pt idx="69">
                  <c:v>2657871.8180081774</c:v>
                </c:pt>
                <c:pt idx="70">
                  <c:v>2594738.8545392472</c:v>
                </c:pt>
                <c:pt idx="71">
                  <c:v>2592906.8038620707</c:v>
                </c:pt>
                <c:pt idx="72">
                  <c:v>2404233.2105427198</c:v>
                </c:pt>
                <c:pt idx="73">
                  <c:v>2416905.8180897939</c:v>
                </c:pt>
                <c:pt idx="74">
                  <c:v>2290082.4766739416</c:v>
                </c:pt>
                <c:pt idx="75">
                  <c:v>2235713.4452903345</c:v>
                </c:pt>
                <c:pt idx="76">
                  <c:v>2221968.8392004315</c:v>
                </c:pt>
                <c:pt idx="77">
                  <c:v>2095172.943732582</c:v>
                </c:pt>
                <c:pt idx="78">
                  <c:v>1982259.68678925</c:v>
                </c:pt>
                <c:pt idx="79">
                  <c:v>1939696.3623788897</c:v>
                </c:pt>
                <c:pt idx="80">
                  <c:v>1848176.0335801993</c:v>
                </c:pt>
                <c:pt idx="81">
                  <c:v>1753520.3606266766</c:v>
                </c:pt>
                <c:pt idx="82">
                  <c:v>1610481.3447304503</c:v>
                </c:pt>
                <c:pt idx="83">
                  <c:v>1537616.5740410865</c:v>
                </c:pt>
                <c:pt idx="84">
                  <c:v>1478619.1332147818</c:v>
                </c:pt>
                <c:pt idx="85">
                  <c:v>1315024.4075158334</c:v>
                </c:pt>
                <c:pt idx="86">
                  <c:v>1165174.3592878501</c:v>
                </c:pt>
                <c:pt idx="87">
                  <c:v>1020318.6340325058</c:v>
                </c:pt>
                <c:pt idx="88">
                  <c:v>929632.6465723794</c:v>
                </c:pt>
                <c:pt idx="89">
                  <c:v>931060.54697512754</c:v>
                </c:pt>
                <c:pt idx="90">
                  <c:v>889929.01485363755</c:v>
                </c:pt>
                <c:pt idx="91">
                  <c:v>836649.22699841601</c:v>
                </c:pt>
                <c:pt idx="92">
                  <c:v>764591.16316430562</c:v>
                </c:pt>
                <c:pt idx="93">
                  <c:v>721411.53309462173</c:v>
                </c:pt>
                <c:pt idx="94">
                  <c:v>701288.46947552939</c:v>
                </c:pt>
                <c:pt idx="95">
                  <c:v>661273.36463897128</c:v>
                </c:pt>
                <c:pt idx="96">
                  <c:v>576974.29588968086</c:v>
                </c:pt>
                <c:pt idx="97">
                  <c:v>562579.87608582387</c:v>
                </c:pt>
                <c:pt idx="98">
                  <c:v>530409.67504927807</c:v>
                </c:pt>
                <c:pt idx="99">
                  <c:v>492774.60635601036</c:v>
                </c:pt>
                <c:pt idx="100">
                  <c:v>451037.87881227763</c:v>
                </c:pt>
                <c:pt idx="101">
                  <c:v>393632.31581068371</c:v>
                </c:pt>
                <c:pt idx="102">
                  <c:v>345445.27585458441</c:v>
                </c:pt>
                <c:pt idx="103">
                  <c:v>335349.6470880757</c:v>
                </c:pt>
                <c:pt idx="104">
                  <c:v>343347.85178137379</c:v>
                </c:pt>
                <c:pt idx="105">
                  <c:v>325168.89985311008</c:v>
                </c:pt>
                <c:pt idx="106">
                  <c:v>312243.86274527316</c:v>
                </c:pt>
                <c:pt idx="107">
                  <c:v>274862.12806576875</c:v>
                </c:pt>
                <c:pt idx="108">
                  <c:v>281731.35417373321</c:v>
                </c:pt>
                <c:pt idx="109">
                  <c:v>248525.34097761489</c:v>
                </c:pt>
                <c:pt idx="110">
                  <c:v>207581.52381903297</c:v>
                </c:pt>
                <c:pt idx="111">
                  <c:v>193414.53603841423</c:v>
                </c:pt>
                <c:pt idx="112">
                  <c:v>196648.6404527445</c:v>
                </c:pt>
                <c:pt idx="113">
                  <c:v>165198.29739805404</c:v>
                </c:pt>
                <c:pt idx="114">
                  <c:v>151173.75700160861</c:v>
                </c:pt>
                <c:pt idx="115">
                  <c:v>126013.03115283094</c:v>
                </c:pt>
                <c:pt idx="116">
                  <c:v>105844.65381550395</c:v>
                </c:pt>
                <c:pt idx="117">
                  <c:v>114982.1604685452</c:v>
                </c:pt>
                <c:pt idx="118">
                  <c:v>113825.8617588231</c:v>
                </c:pt>
                <c:pt idx="119">
                  <c:v>104381.28961312943</c:v>
                </c:pt>
                <c:pt idx="120">
                  <c:v>95545.353583102915</c:v>
                </c:pt>
                <c:pt idx="121">
                  <c:v>82520.066716438261</c:v>
                </c:pt>
                <c:pt idx="122">
                  <c:v>93189.01647011863</c:v>
                </c:pt>
                <c:pt idx="123">
                  <c:v>103749.34197747373</c:v>
                </c:pt>
                <c:pt idx="124">
                  <c:v>87044.213252265457</c:v>
                </c:pt>
                <c:pt idx="125">
                  <c:v>86712.584948160118</c:v>
                </c:pt>
                <c:pt idx="126">
                  <c:v>88651.133092893288</c:v>
                </c:pt>
                <c:pt idx="127">
                  <c:v>75031.85781383529</c:v>
                </c:pt>
                <c:pt idx="128">
                  <c:v>69863.359023418161</c:v>
                </c:pt>
                <c:pt idx="129">
                  <c:v>56546.18662834743</c:v>
                </c:pt>
                <c:pt idx="130">
                  <c:v>38434.597242321499</c:v>
                </c:pt>
                <c:pt idx="131">
                  <c:v>38589.755321328987</c:v>
                </c:pt>
                <c:pt idx="132">
                  <c:v>37244.147597217685</c:v>
                </c:pt>
                <c:pt idx="133">
                  <c:v>31257.599847025995</c:v>
                </c:pt>
                <c:pt idx="134">
                  <c:v>34977.311109179922</c:v>
                </c:pt>
                <c:pt idx="135">
                  <c:v>32486.644515345961</c:v>
                </c:pt>
                <c:pt idx="136">
                  <c:v>30121.108326273366</c:v>
                </c:pt>
                <c:pt idx="137">
                  <c:v>31409.666390677146</c:v>
                </c:pt>
                <c:pt idx="138">
                  <c:v>29685.567325954751</c:v>
                </c:pt>
                <c:pt idx="139">
                  <c:v>27179.281711291183</c:v>
                </c:pt>
                <c:pt idx="140">
                  <c:v>30447.024307913129</c:v>
                </c:pt>
                <c:pt idx="141">
                  <c:v>22833.686984895485</c:v>
                </c:pt>
                <c:pt idx="142">
                  <c:v>28783.300294031393</c:v>
                </c:pt>
                <c:pt idx="143">
                  <c:v>36447.020147118827</c:v>
                </c:pt>
                <c:pt idx="144">
                  <c:v>34924.407902348452</c:v>
                </c:pt>
                <c:pt idx="145">
                  <c:v>34873.787813247902</c:v>
                </c:pt>
                <c:pt idx="146">
                  <c:v>35943.59085776416</c:v>
                </c:pt>
                <c:pt idx="147">
                  <c:v>32357.131907618772</c:v>
                </c:pt>
                <c:pt idx="148">
                  <c:v>30254.772695429743</c:v>
                </c:pt>
                <c:pt idx="149">
                  <c:v>23745.845921416727</c:v>
                </c:pt>
                <c:pt idx="150">
                  <c:v>12488.909727197417</c:v>
                </c:pt>
                <c:pt idx="151">
                  <c:v>7146.8489675577921</c:v>
                </c:pt>
                <c:pt idx="152">
                  <c:v>10430.95029883815</c:v>
                </c:pt>
                <c:pt idx="153">
                  <c:v>10904.088909083366</c:v>
                </c:pt>
                <c:pt idx="154">
                  <c:v>11872.830046537554</c:v>
                </c:pt>
                <c:pt idx="155">
                  <c:v>11849.590847697462</c:v>
                </c:pt>
                <c:pt idx="156">
                  <c:v>7461.3757385902936</c:v>
                </c:pt>
                <c:pt idx="157">
                  <c:v>7200.3267689041386</c:v>
                </c:pt>
                <c:pt idx="158">
                  <c:v>9433.3583198862652</c:v>
                </c:pt>
                <c:pt idx="159">
                  <c:v>2082.868743882821</c:v>
                </c:pt>
                <c:pt idx="160">
                  <c:v>500.38476298028883</c:v>
                </c:pt>
                <c:pt idx="161">
                  <c:v>-439.19020026094654</c:v>
                </c:pt>
                <c:pt idx="162">
                  <c:v>-3013.3090657086304</c:v>
                </c:pt>
                <c:pt idx="163">
                  <c:v>-3000.8263753690389</c:v>
                </c:pt>
                <c:pt idx="164">
                  <c:v>-218.66707280788566</c:v>
                </c:pt>
                <c:pt idx="165">
                  <c:v>1564.8036957551562</c:v>
                </c:pt>
                <c:pt idx="166">
                  <c:v>1115.8279059347201</c:v>
                </c:pt>
                <c:pt idx="167">
                  <c:v>3350.8264955898803</c:v>
                </c:pt>
                <c:pt idx="168">
                  <c:v>6440.4591915334986</c:v>
                </c:pt>
                <c:pt idx="169">
                  <c:v>5943.7795766589961</c:v>
                </c:pt>
                <c:pt idx="170">
                  <c:v>7487.5969699946863</c:v>
                </c:pt>
                <c:pt idx="171">
                  <c:v>6885.7697630863495</c:v>
                </c:pt>
                <c:pt idx="172">
                  <c:v>1221.2965002190688</c:v>
                </c:pt>
                <c:pt idx="173">
                  <c:v>2339.0969586966503</c:v>
                </c:pt>
                <c:pt idx="174">
                  <c:v>2847.8101908252479</c:v>
                </c:pt>
                <c:pt idx="175">
                  <c:v>965.72077939832116</c:v>
                </c:pt>
                <c:pt idx="176">
                  <c:v>5117.628515499634</c:v>
                </c:pt>
                <c:pt idx="177">
                  <c:v>7658.9849770744304</c:v>
                </c:pt>
                <c:pt idx="178">
                  <c:v>11471.83720622918</c:v>
                </c:pt>
                <c:pt idx="179">
                  <c:v>14674.874790430853</c:v>
                </c:pt>
                <c:pt idx="180">
                  <c:v>14971.128426755427</c:v>
                </c:pt>
                <c:pt idx="181">
                  <c:v>15068.23804385366</c:v>
                </c:pt>
                <c:pt idx="182">
                  <c:v>13514.455598783317</c:v>
                </c:pt>
                <c:pt idx="183">
                  <c:v>12154.641029960307</c:v>
                </c:pt>
                <c:pt idx="184">
                  <c:v>17591.659490839127</c:v>
                </c:pt>
                <c:pt idx="185">
                  <c:v>13988.01523076022</c:v>
                </c:pt>
                <c:pt idx="186">
                  <c:v>14118.004297450319</c:v>
                </c:pt>
                <c:pt idx="187">
                  <c:v>14229.993729027492</c:v>
                </c:pt>
                <c:pt idx="188">
                  <c:v>13989.908275627671</c:v>
                </c:pt>
                <c:pt idx="189">
                  <c:v>15298.312782981657</c:v>
                </c:pt>
                <c:pt idx="190">
                  <c:v>19623.165592451878</c:v>
                </c:pt>
                <c:pt idx="191">
                  <c:v>14782.015521002882</c:v>
                </c:pt>
                <c:pt idx="192">
                  <c:v>17114.873534279086</c:v>
                </c:pt>
                <c:pt idx="193">
                  <c:v>20578.090497749159</c:v>
                </c:pt>
                <c:pt idx="194">
                  <c:v>24511.668071189095</c:v>
                </c:pt>
                <c:pt idx="195">
                  <c:v>29297.743500029446</c:v>
                </c:pt>
                <c:pt idx="196">
                  <c:v>24032.194704646008</c:v>
                </c:pt>
                <c:pt idx="197">
                  <c:v>20830.179485134253</c:v>
                </c:pt>
                <c:pt idx="198">
                  <c:v>20306.912016010505</c:v>
                </c:pt>
                <c:pt idx="199">
                  <c:v>21133.11160286576</c:v>
                </c:pt>
                <c:pt idx="200">
                  <c:v>18322.074827843448</c:v>
                </c:pt>
                <c:pt idx="201">
                  <c:v>15269.52554777849</c:v>
                </c:pt>
                <c:pt idx="202">
                  <c:v>10683.364206743136</c:v>
                </c:pt>
                <c:pt idx="203">
                  <c:v>16228.590895536126</c:v>
                </c:pt>
                <c:pt idx="204">
                  <c:v>16807.069363539584</c:v>
                </c:pt>
                <c:pt idx="205">
                  <c:v>18460.627881233257</c:v>
                </c:pt>
                <c:pt idx="206">
                  <c:v>19922.220769999774</c:v>
                </c:pt>
                <c:pt idx="207">
                  <c:v>21035.929482197851</c:v>
                </c:pt>
                <c:pt idx="208">
                  <c:v>22082.210130831088</c:v>
                </c:pt>
                <c:pt idx="209">
                  <c:v>23414.272514108448</c:v>
                </c:pt>
                <c:pt idx="210">
                  <c:v>24800.96912702408</c:v>
                </c:pt>
                <c:pt idx="211">
                  <c:v>19246.240529668121</c:v>
                </c:pt>
                <c:pt idx="212">
                  <c:v>14351.453383225462</c:v>
                </c:pt>
                <c:pt idx="213">
                  <c:v>15155.583274413353</c:v>
                </c:pt>
                <c:pt idx="214">
                  <c:v>13221.203244623113</c:v>
                </c:pt>
                <c:pt idx="215">
                  <c:v>12949.008761010045</c:v>
                </c:pt>
                <c:pt idx="216">
                  <c:v>11838.007980427969</c:v>
                </c:pt>
                <c:pt idx="217">
                  <c:v>13018.855832936037</c:v>
                </c:pt>
                <c:pt idx="218">
                  <c:v>17233.496984226334</c:v>
                </c:pt>
                <c:pt idx="219">
                  <c:v>19378.196938964949</c:v>
                </c:pt>
                <c:pt idx="220">
                  <c:v>21797.675979659489</c:v>
                </c:pt>
                <c:pt idx="221">
                  <c:v>29493.295273261079</c:v>
                </c:pt>
                <c:pt idx="222">
                  <c:v>31712.983282855104</c:v>
                </c:pt>
                <c:pt idx="223">
                  <c:v>33115.625259362554</c:v>
                </c:pt>
                <c:pt idx="224">
                  <c:v>32475.745829268068</c:v>
                </c:pt>
                <c:pt idx="225">
                  <c:v>30418.327532404339</c:v>
                </c:pt>
                <c:pt idx="226">
                  <c:v>28436.607511023511</c:v>
                </c:pt>
                <c:pt idx="227">
                  <c:v>26830.227512226451</c:v>
                </c:pt>
                <c:pt idx="228">
                  <c:v>23886.163129592584</c:v>
                </c:pt>
                <c:pt idx="229">
                  <c:v>25879.634156731288</c:v>
                </c:pt>
                <c:pt idx="230">
                  <c:v>26862.314209400749</c:v>
                </c:pt>
                <c:pt idx="231">
                  <c:v>27572.449363303847</c:v>
                </c:pt>
                <c:pt idx="232">
                  <c:v>29333.69218502468</c:v>
                </c:pt>
                <c:pt idx="233">
                  <c:v>42000.955521492288</c:v>
                </c:pt>
                <c:pt idx="234">
                  <c:v>48339.855312747371</c:v>
                </c:pt>
                <c:pt idx="235">
                  <c:v>65570.032960678203</c:v>
                </c:pt>
                <c:pt idx="236">
                  <c:v>64110.102985402409</c:v>
                </c:pt>
                <c:pt idx="237">
                  <c:v>64325.822517385583</c:v>
                </c:pt>
                <c:pt idx="238">
                  <c:v>62338.653036673648</c:v>
                </c:pt>
                <c:pt idx="239">
                  <c:v>62400.49136308032</c:v>
                </c:pt>
                <c:pt idx="240">
                  <c:v>62971.662879145028</c:v>
                </c:pt>
                <c:pt idx="241">
                  <c:v>75218.085212157297</c:v>
                </c:pt>
                <c:pt idx="242">
                  <c:v>78696.951121089587</c:v>
                </c:pt>
                <c:pt idx="243">
                  <c:v>84741.250154322188</c:v>
                </c:pt>
                <c:pt idx="244">
                  <c:v>87780.198558514297</c:v>
                </c:pt>
                <c:pt idx="245">
                  <c:v>101703.53610415889</c:v>
                </c:pt>
                <c:pt idx="246">
                  <c:v>116217.37151486331</c:v>
                </c:pt>
                <c:pt idx="247">
                  <c:v>103025.90915925345</c:v>
                </c:pt>
                <c:pt idx="248">
                  <c:v>93098.145139701155</c:v>
                </c:pt>
                <c:pt idx="249">
                  <c:v>76799.763178339694</c:v>
                </c:pt>
                <c:pt idx="250">
                  <c:v>108296.97829476184</c:v>
                </c:pt>
                <c:pt idx="251">
                  <c:v>112216.26687898545</c:v>
                </c:pt>
                <c:pt idx="252">
                  <c:v>123999.2744944984</c:v>
                </c:pt>
                <c:pt idx="253">
                  <c:v>145788.59570733723</c:v>
                </c:pt>
                <c:pt idx="254">
                  <c:v>167912.91440455132</c:v>
                </c:pt>
                <c:pt idx="255">
                  <c:v>183952.21762365074</c:v>
                </c:pt>
                <c:pt idx="256">
                  <c:v>221650.67688437033</c:v>
                </c:pt>
                <c:pt idx="257">
                  <c:v>171872.60743397532</c:v>
                </c:pt>
                <c:pt idx="258">
                  <c:v>161802.66598041044</c:v>
                </c:pt>
                <c:pt idx="259">
                  <c:v>152936.82074122003</c:v>
                </c:pt>
                <c:pt idx="260">
                  <c:v>163581.09254196397</c:v>
                </c:pt>
                <c:pt idx="261">
                  <c:v>171380.75486387446</c:v>
                </c:pt>
                <c:pt idx="262">
                  <c:v>216506.19722515051</c:v>
                </c:pt>
                <c:pt idx="263">
                  <c:v>220432.65646961264</c:v>
                </c:pt>
                <c:pt idx="264">
                  <c:v>256189.23334150514</c:v>
                </c:pt>
                <c:pt idx="265">
                  <c:v>266256.14618878713</c:v>
                </c:pt>
                <c:pt idx="266">
                  <c:v>275166.76964809414</c:v>
                </c:pt>
                <c:pt idx="267">
                  <c:v>290248.41685537645</c:v>
                </c:pt>
                <c:pt idx="268">
                  <c:v>284956.99172153923</c:v>
                </c:pt>
                <c:pt idx="269">
                  <c:v>258871.1660619567</c:v>
                </c:pt>
                <c:pt idx="270">
                  <c:v>293528.23653225816</c:v>
                </c:pt>
                <c:pt idx="271">
                  <c:v>315992.29375245573</c:v>
                </c:pt>
                <c:pt idx="272">
                  <c:v>333183.45847216627</c:v>
                </c:pt>
                <c:pt idx="273">
                  <c:v>365149.53249783849</c:v>
                </c:pt>
                <c:pt idx="274">
                  <c:v>381070.19621043908</c:v>
                </c:pt>
                <c:pt idx="275">
                  <c:v>481903.56211471395</c:v>
                </c:pt>
                <c:pt idx="276">
                  <c:v>575775.80687750271</c:v>
                </c:pt>
                <c:pt idx="277">
                  <c:v>590782.17146980448</c:v>
                </c:pt>
                <c:pt idx="278">
                  <c:v>664208.52699339332</c:v>
                </c:pt>
                <c:pt idx="279">
                  <c:v>670843.72163595748</c:v>
                </c:pt>
                <c:pt idx="280">
                  <c:v>664732.05333146185</c:v>
                </c:pt>
                <c:pt idx="281">
                  <c:v>738079.93413642317</c:v>
                </c:pt>
                <c:pt idx="282">
                  <c:v>761650.15953280078</c:v>
                </c:pt>
                <c:pt idx="283">
                  <c:v>756836.63063770579</c:v>
                </c:pt>
                <c:pt idx="284">
                  <c:v>819719.85533796367</c:v>
                </c:pt>
                <c:pt idx="285">
                  <c:v>820109.46939892182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4E-4D43-A8D9-2C8D164B0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411680"/>
        <c:axId val="616413344"/>
      </c:lineChart>
      <c:dateAx>
        <c:axId val="616411680"/>
        <c:scaling>
          <c:orientation val="minMax"/>
        </c:scaling>
        <c:delete val="0"/>
        <c:axPos val="b"/>
        <c:numFmt formatCode="dd/mm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6413344"/>
        <c:crosses val="autoZero"/>
        <c:auto val="1"/>
        <c:lblOffset val="100"/>
        <c:baseTimeUnit val="days"/>
      </c:dateAx>
      <c:valAx>
        <c:axId val="61641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641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38100</xdr:colOff>
      <xdr:row>60</xdr:row>
      <xdr:rowOff>152400</xdr:rowOff>
    </xdr:from>
    <xdr:to>
      <xdr:col>46</xdr:col>
      <xdr:colOff>731520</xdr:colOff>
      <xdr:row>84</xdr:row>
      <xdr:rowOff>121920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53340</xdr:colOff>
      <xdr:row>86</xdr:row>
      <xdr:rowOff>99060</xdr:rowOff>
    </xdr:from>
    <xdr:to>
      <xdr:col>46</xdr:col>
      <xdr:colOff>716280</xdr:colOff>
      <xdr:row>108</xdr:row>
      <xdr:rowOff>38100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45720</xdr:colOff>
      <xdr:row>110</xdr:row>
      <xdr:rowOff>87630</xdr:rowOff>
    </xdr:from>
    <xdr:to>
      <xdr:col>46</xdr:col>
      <xdr:colOff>670560</xdr:colOff>
      <xdr:row>133</xdr:row>
      <xdr:rowOff>68580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36</xdr:col>
      <xdr:colOff>198120</xdr:colOff>
      <xdr:row>4</xdr:row>
      <xdr:rowOff>99060</xdr:rowOff>
    </xdr:from>
    <xdr:to>
      <xdr:col>49</xdr:col>
      <xdr:colOff>601980</xdr:colOff>
      <xdr:row>25</xdr:row>
      <xdr:rowOff>83820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25820" y="495300"/>
          <a:ext cx="11498580" cy="4145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351"/>
  <sheetViews>
    <sheetView topLeftCell="AJ60" zoomScaleNormal="100" workbookViewId="0">
      <selection activeCell="AY66" sqref="AY66"/>
    </sheetView>
  </sheetViews>
  <sheetFormatPr baseColWidth="10" defaultRowHeight="13.8"/>
  <cols>
    <col min="22" max="22" width="14.09765625" bestFit="1" customWidth="1"/>
    <col min="30" max="30" width="10.796875" customWidth="1"/>
    <col min="35" max="35" width="15" bestFit="1" customWidth="1"/>
  </cols>
  <sheetData>
    <row r="1" spans="1:63">
      <c r="AF1" s="1"/>
      <c r="AG1" s="6"/>
      <c r="AH1" s="1" t="s">
        <v>12</v>
      </c>
      <c r="AI1" s="7">
        <f>COUNT(V5:V53)</f>
        <v>49</v>
      </c>
    </row>
    <row r="2" spans="1:63">
      <c r="AF2" s="1"/>
      <c r="AG2" s="6"/>
      <c r="AH2" s="1" t="s">
        <v>15</v>
      </c>
      <c r="AI2" s="7">
        <f>SUM(V5:V53)</f>
        <v>41758675</v>
      </c>
    </row>
    <row r="3" spans="1:63" ht="15.6">
      <c r="C3" t="s">
        <v>2</v>
      </c>
      <c r="H3">
        <v>11250</v>
      </c>
      <c r="I3" s="5" t="s">
        <v>14</v>
      </c>
      <c r="K3" t="s">
        <v>19</v>
      </c>
      <c r="M3" t="s">
        <v>0</v>
      </c>
      <c r="N3" s="3">
        <v>0.02</v>
      </c>
      <c r="O3">
        <f>2.294+3.331*0+0.435</f>
        <v>2.7290000000000001</v>
      </c>
      <c r="P3" s="1"/>
      <c r="T3" t="s">
        <v>7</v>
      </c>
      <c r="W3" t="s">
        <v>9</v>
      </c>
      <c r="AF3" s="1"/>
      <c r="AG3" s="6"/>
      <c r="AH3" s="1" t="s">
        <v>16</v>
      </c>
      <c r="AI3" s="1">
        <f>+AI2/AI1</f>
        <v>852217.85714285716</v>
      </c>
      <c r="BB3" t="s">
        <v>8</v>
      </c>
      <c r="BE3" t="s">
        <v>11</v>
      </c>
    </row>
    <row r="4" spans="1:63" ht="15.6">
      <c r="B4" s="1"/>
      <c r="C4" t="s">
        <v>3</v>
      </c>
      <c r="D4" t="s">
        <v>0</v>
      </c>
      <c r="E4" t="s">
        <v>5</v>
      </c>
      <c r="F4" t="s">
        <v>4</v>
      </c>
      <c r="H4" t="s">
        <v>9</v>
      </c>
      <c r="I4" t="s">
        <v>10</v>
      </c>
      <c r="J4" t="s">
        <v>1</v>
      </c>
      <c r="K4" t="s">
        <v>20</v>
      </c>
      <c r="M4" t="s">
        <v>21</v>
      </c>
      <c r="N4" t="s">
        <v>13</v>
      </c>
      <c r="O4" t="s">
        <v>9</v>
      </c>
      <c r="P4" t="s">
        <v>10</v>
      </c>
      <c r="S4" s="4"/>
      <c r="T4" t="s">
        <v>17</v>
      </c>
      <c r="U4" t="s">
        <v>18</v>
      </c>
      <c r="V4" t="s">
        <v>6</v>
      </c>
      <c r="W4" s="6" t="s">
        <v>11</v>
      </c>
      <c r="X4" s="6" t="s">
        <v>8</v>
      </c>
      <c r="Y4" s="6"/>
      <c r="AF4" s="1"/>
      <c r="AG4" s="6"/>
      <c r="AH4" s="1"/>
      <c r="AI4" s="7">
        <f>+AI1</f>
        <v>49</v>
      </c>
      <c r="AK4" t="s">
        <v>25</v>
      </c>
      <c r="AZ4" t="s">
        <v>36</v>
      </c>
      <c r="BA4" t="s">
        <v>39</v>
      </c>
      <c r="BB4" t="s">
        <v>37</v>
      </c>
      <c r="BC4" t="s">
        <v>34</v>
      </c>
      <c r="BD4" t="s">
        <v>35</v>
      </c>
      <c r="BE4" t="s">
        <v>37</v>
      </c>
      <c r="BF4" t="s">
        <v>34</v>
      </c>
      <c r="BG4" t="s">
        <v>35</v>
      </c>
    </row>
    <row r="5" spans="1:63" ht="15.6">
      <c r="A5" s="2">
        <f t="shared" ref="A5:B93" si="0">+A6+1</f>
        <v>44215</v>
      </c>
      <c r="B5" s="2">
        <f t="shared" si="0"/>
        <v>44240</v>
      </c>
      <c r="C5" s="1">
        <f>+C6+8354</f>
        <v>2328447</v>
      </c>
      <c r="D5" s="1">
        <f>+D6+551</f>
        <v>64742</v>
      </c>
      <c r="E5" s="1">
        <f>+E6+100*109</f>
        <v>2112000</v>
      </c>
      <c r="F5" s="1">
        <f>+A!C5-A!D5-A!E5</f>
        <v>151705</v>
      </c>
      <c r="G5" s="1"/>
      <c r="H5" s="4">
        <f>SUM(A!J5:J11)/7*1000000/A!H$3-SUM(A!F5:F11)/7*(1-A!N$3)</f>
        <v>168623.33873015875</v>
      </c>
      <c r="I5" s="7"/>
      <c r="J5" s="1">
        <v>3488</v>
      </c>
      <c r="K5" s="1">
        <v>94</v>
      </c>
      <c r="M5" s="4">
        <f>A!D5-A!D6</f>
        <v>551</v>
      </c>
      <c r="N5" s="11">
        <f>SUM(A!P5:P11)/7*A!N$3</f>
        <v>151.58000000000001</v>
      </c>
      <c r="P5" s="4">
        <f>C5-C6</f>
        <v>8354</v>
      </c>
      <c r="Q5" s="4"/>
      <c r="S5" s="2">
        <f>A!B11</f>
        <v>44234</v>
      </c>
      <c r="T5" s="1">
        <f>+A!U5-A!U6</f>
        <v>67647</v>
      </c>
      <c r="U5" s="1">
        <f>A!C11</f>
        <v>2284010</v>
      </c>
      <c r="V5" s="1">
        <v>1026196</v>
      </c>
      <c r="W5" s="1">
        <f>SUM(AC9:AC15)/7</f>
        <v>125740.00311936553</v>
      </c>
      <c r="X5" s="1">
        <f>SUM(AD9:AD15)/7</f>
        <v>0</v>
      </c>
      <c r="AC5" s="1"/>
      <c r="AD5" s="1"/>
      <c r="AE5" s="1"/>
      <c r="AF5" s="1"/>
      <c r="AG5" s="6"/>
      <c r="AH5" s="1"/>
      <c r="AI5" s="6"/>
      <c r="AJ5" s="1"/>
      <c r="AY5" t="s">
        <v>29</v>
      </c>
      <c r="AZ5" s="1">
        <v>1000000</v>
      </c>
      <c r="BA5" s="1">
        <f>+AZ5</f>
        <v>1000000</v>
      </c>
      <c r="BB5" s="1">
        <f>BB14/AZ14*AZ5</f>
        <v>11509688.888888888</v>
      </c>
      <c r="BC5" s="1">
        <f>BC14/AZ14*AZ5</f>
        <v>1634844.4444444445</v>
      </c>
      <c r="BD5" s="1">
        <f>BD14/AZ14*AZ5</f>
        <v>9874844.4444444459</v>
      </c>
      <c r="BE5" s="1">
        <f>BE12/AZ12*AZ5</f>
        <v>5558666.666666666</v>
      </c>
      <c r="BF5" s="1">
        <f>BF12/AZ12*AZ5</f>
        <v>1411911.111111111</v>
      </c>
      <c r="BG5" s="1">
        <f>BG12/AZ12*AZ5</f>
        <v>4146755.555555556</v>
      </c>
      <c r="BH5" s="6">
        <f>+BD5/BB5</f>
        <v>0.85795928454480885</v>
      </c>
    </row>
    <row r="6" spans="1:63" ht="15.6">
      <c r="A6" s="2">
        <f t="shared" si="0"/>
        <v>44214</v>
      </c>
      <c r="B6" s="2">
        <f t="shared" si="0"/>
        <v>44239</v>
      </c>
      <c r="C6" s="1">
        <f>+C7+9860</f>
        <v>2320093</v>
      </c>
      <c r="D6" s="1">
        <f>+D7+556</f>
        <v>64191</v>
      </c>
      <c r="E6" s="1">
        <f>+E7+100*135</f>
        <v>2101100</v>
      </c>
      <c r="F6" s="1">
        <f>+A!C6-A!D6-A!E6</f>
        <v>154802</v>
      </c>
      <c r="G6" s="1"/>
      <c r="H6" s="4">
        <f>SUM(A!J6:J12)/7*1000000/A!H$3-SUM(A!F6:F12)/7*(1-A!N$3)</f>
        <v>168870.06158730155</v>
      </c>
      <c r="J6" s="1">
        <v>3552</v>
      </c>
      <c r="K6" s="1">
        <v>129</v>
      </c>
      <c r="M6" s="4">
        <f>A!D6-A!D7</f>
        <v>556</v>
      </c>
      <c r="N6" s="11">
        <f>SUM(A!P6:P12)/7*A!N$3</f>
        <v>157.66857142857143</v>
      </c>
      <c r="P6" s="4">
        <f t="shared" ref="P6:P94" si="1">C6-C7</f>
        <v>9860</v>
      </c>
      <c r="Q6" s="4"/>
      <c r="S6" s="2">
        <f>A!B18</f>
        <v>44227</v>
      </c>
      <c r="T6" s="1">
        <f>+A!U6-A!U7</f>
        <v>81427</v>
      </c>
      <c r="U6" s="1">
        <f>A!C18</f>
        <v>2216363</v>
      </c>
      <c r="V6" s="1">
        <v>1137034</v>
      </c>
      <c r="W6" s="1">
        <f>SUM(AC16:AC22)/7</f>
        <v>167012.89941054469</v>
      </c>
      <c r="X6" s="1">
        <f>SUM(AD16:AD22)/7</f>
        <v>3099298.4083296093</v>
      </c>
      <c r="AC6" s="1"/>
      <c r="AD6" s="7"/>
      <c r="AE6" s="1"/>
      <c r="AF6" s="1"/>
      <c r="AG6" s="6"/>
      <c r="AH6" s="1"/>
      <c r="AI6" s="6"/>
      <c r="AJ6" s="1"/>
      <c r="AY6" t="s">
        <v>30</v>
      </c>
      <c r="AZ6" s="1">
        <f>AZ5*0.955</f>
        <v>955000</v>
      </c>
      <c r="BA6" s="1">
        <f>BA16-BA13-BA11</f>
        <v>975136.36521786405</v>
      </c>
      <c r="BB6" s="1"/>
      <c r="BC6" s="1"/>
      <c r="BD6" s="1"/>
      <c r="BE6" s="1"/>
      <c r="BF6" s="1"/>
      <c r="BG6" s="1"/>
      <c r="BH6" s="1"/>
    </row>
    <row r="7" spans="1:63" ht="15.6">
      <c r="A7" s="2">
        <f t="shared" si="0"/>
        <v>44213</v>
      </c>
      <c r="B7" s="2">
        <f t="shared" si="0"/>
        <v>44238</v>
      </c>
      <c r="C7" s="1">
        <f>+C8+10237</f>
        <v>2310233</v>
      </c>
      <c r="D7" s="1">
        <f>+D8+666</f>
        <v>63635</v>
      </c>
      <c r="E7" s="1">
        <f>+E8+100*145</f>
        <v>2087600</v>
      </c>
      <c r="F7" s="1">
        <f>+A!C7-A!D7-A!E7</f>
        <v>158998</v>
      </c>
      <c r="G7" s="1"/>
      <c r="H7" s="4">
        <f>SUM(A!J7:J13)/7*1000000/A!H$3-SUM(A!F7:F13)/7*(1-A!N$3)</f>
        <v>169689.83619047623</v>
      </c>
      <c r="I7" s="7"/>
      <c r="J7" s="1">
        <v>3675</v>
      </c>
      <c r="K7" s="1">
        <v>125</v>
      </c>
      <c r="M7" s="4">
        <f>A!D7-A!D8</f>
        <v>666</v>
      </c>
      <c r="N7" s="11">
        <f>SUM(A!P7:P13)/7*A!N$3</f>
        <v>166.37714285714287</v>
      </c>
      <c r="P7" s="4">
        <f t="shared" si="1"/>
        <v>10237</v>
      </c>
      <c r="Q7" s="4"/>
      <c r="S7" s="2">
        <f>A!B25</f>
        <v>44220</v>
      </c>
      <c r="T7" s="1">
        <f>+A!U7-A!U8</f>
        <v>101418</v>
      </c>
      <c r="U7" s="1">
        <f>A!C25</f>
        <v>2134936</v>
      </c>
      <c r="V7" s="1">
        <v>1106528</v>
      </c>
      <c r="W7" s="1">
        <f>SUM(AC23:AC29)/7</f>
        <v>159332.26779354643</v>
      </c>
      <c r="X7" s="1">
        <f>SUM(AD23:AD29)/7</f>
        <v>5183615.4279225776</v>
      </c>
      <c r="Y7" s="1"/>
      <c r="AC7" s="1"/>
      <c r="AD7" s="7"/>
      <c r="AE7" s="1"/>
      <c r="AF7" s="10"/>
      <c r="AG7" s="6"/>
      <c r="AH7" s="6"/>
      <c r="AI7" s="6"/>
      <c r="AJ7" s="1"/>
      <c r="AY7" t="s">
        <v>6</v>
      </c>
      <c r="AZ7" s="1"/>
      <c r="BA7" s="1"/>
      <c r="BB7" s="1" t="e">
        <f>#REF!</f>
        <v>#REF!</v>
      </c>
      <c r="BC7" s="1">
        <f>SUM(V31:V53)</f>
        <v>9327677</v>
      </c>
      <c r="BD7" s="1" t="e">
        <f>+BB7-BC7</f>
        <v>#REF!</v>
      </c>
      <c r="BE7" s="1"/>
      <c r="BF7" s="1"/>
      <c r="BG7" s="1"/>
      <c r="BH7" s="6" t="e">
        <f>+BD7/BB7</f>
        <v>#REF!</v>
      </c>
    </row>
    <row r="8" spans="1:63" ht="15.6">
      <c r="A8" s="2">
        <f t="shared" si="0"/>
        <v>44212</v>
      </c>
      <c r="B8" s="2">
        <f t="shared" si="0"/>
        <v>44237</v>
      </c>
      <c r="C8" s="1">
        <f>+C9+8072</f>
        <v>2299996</v>
      </c>
      <c r="D8" s="1">
        <f>+D9+813</f>
        <v>62969</v>
      </c>
      <c r="E8" s="1">
        <f>+E9+100*158</f>
        <v>2073100</v>
      </c>
      <c r="F8" s="1">
        <f>+A!C8-A!D8-A!E8</f>
        <v>163927</v>
      </c>
      <c r="G8" s="1"/>
      <c r="H8" s="4">
        <f>SUM(A!J8:J14)/7*1000000/A!H$3-SUM(A!F8:F14)/7*(1-A!N$3)</f>
        <v>170160.59777777773</v>
      </c>
      <c r="I8" s="7">
        <f>SUM(A!F5:F11)/7</f>
        <v>168680.42857142858</v>
      </c>
      <c r="J8" s="1">
        <v>3846</v>
      </c>
      <c r="K8" s="1">
        <v>123</v>
      </c>
      <c r="M8" s="4">
        <f>A!D8-A!D9</f>
        <v>813</v>
      </c>
      <c r="N8" s="11">
        <f>SUM(A!P8:P14)/7*A!N$3</f>
        <v>177.73142857142858</v>
      </c>
      <c r="P8" s="4">
        <f t="shared" si="1"/>
        <v>8072</v>
      </c>
      <c r="Q8" s="1">
        <f>SUM(A!P5:P11)/7</f>
        <v>7579</v>
      </c>
      <c r="S8" s="2">
        <f>A!B32</f>
        <v>44213</v>
      </c>
      <c r="T8" s="1">
        <f>+A!U8-A!U9</f>
        <v>127991</v>
      </c>
      <c r="U8" s="1">
        <f>A!C32</f>
        <v>2033518</v>
      </c>
      <c r="V8" s="1">
        <v>1184400</v>
      </c>
      <c r="W8" s="1">
        <f>SUM(AC30:AC36)/7</f>
        <v>168408.81021528578</v>
      </c>
      <c r="X8" s="1">
        <f>SUM(AD30:AD36)/7</f>
        <v>4972948.118273519</v>
      </c>
      <c r="AC8" s="1"/>
      <c r="AE8" s="1"/>
      <c r="AF8" s="10"/>
      <c r="AG8" s="6"/>
      <c r="AH8" s="6"/>
      <c r="AJ8" s="1"/>
      <c r="AY8" t="s">
        <v>9</v>
      </c>
      <c r="AZ8" s="1">
        <f>+AZ5-AZ9</f>
        <v>850000</v>
      </c>
      <c r="BA8" s="1">
        <f>BA5-BA9</f>
        <v>797696.79072317819</v>
      </c>
      <c r="BB8" s="6">
        <f t="shared" ref="BB8:BC8" si="2">1-BB9/BB5</f>
        <v>0.79769679072317812</v>
      </c>
      <c r="BC8" s="6">
        <f t="shared" si="2"/>
        <v>0.86794401098303608</v>
      </c>
      <c r="BD8" s="6">
        <f>1-BD9/BD5</f>
        <v>0.78606690850826344</v>
      </c>
      <c r="BE8" s="1"/>
      <c r="BF8" s="1"/>
      <c r="BG8" s="1"/>
      <c r="BH8" s="1"/>
    </row>
    <row r="9" spans="1:63" ht="15.6">
      <c r="A9" s="2">
        <f t="shared" si="0"/>
        <v>44211</v>
      </c>
      <c r="B9" s="2">
        <f t="shared" si="0"/>
        <v>44236</v>
      </c>
      <c r="C9" s="1">
        <f>+C10+3379</f>
        <v>2291924</v>
      </c>
      <c r="D9" s="1">
        <f>+D10+481</f>
        <v>62156</v>
      </c>
      <c r="E9" s="1">
        <f>+E10+100*160</f>
        <v>2057300</v>
      </c>
      <c r="F9" s="1">
        <f>+A!C9-A!D9-A!E9</f>
        <v>172468</v>
      </c>
      <c r="G9" s="1"/>
      <c r="H9" s="4">
        <f>SUM(A!J9:J15)/7*1000000/A!H$3-SUM(A!F9:F15)/7*(1-A!N$3)</f>
        <v>169096.22095238094</v>
      </c>
      <c r="I9" s="7">
        <f>SUM(A!F6:F12)/7</f>
        <v>174609.42857142858</v>
      </c>
      <c r="J9" s="1">
        <v>3846</v>
      </c>
      <c r="K9" s="1">
        <v>164</v>
      </c>
      <c r="M9" s="4">
        <f>A!D9-A!D10</f>
        <v>481</v>
      </c>
      <c r="N9" s="11">
        <f>SUM(A!P9:P15)/7*A!N$3</f>
        <v>182.39714285714285</v>
      </c>
      <c r="P9" s="4">
        <f t="shared" si="1"/>
        <v>3379</v>
      </c>
      <c r="Q9" s="1">
        <f>SUM(A!P6:P12)/7</f>
        <v>7883.4285714285716</v>
      </c>
      <c r="S9" s="2">
        <f>A!B39</f>
        <v>44206</v>
      </c>
      <c r="T9" s="1">
        <f>+A!U9-A!U10</f>
        <v>139861</v>
      </c>
      <c r="U9" s="1">
        <f>A!C39</f>
        <v>1905527</v>
      </c>
      <c r="V9" s="1">
        <v>1227527</v>
      </c>
      <c r="W9" s="1">
        <f>SUM(AC37:AC43)/7</f>
        <v>189441.47458483904</v>
      </c>
      <c r="X9" s="1">
        <f>SUM(AD37:AD43)/7</f>
        <v>5547177.3924776213</v>
      </c>
      <c r="AC9" s="1"/>
      <c r="AE9" s="1"/>
      <c r="AF9" s="10"/>
      <c r="AG9" s="6"/>
      <c r="AH9" s="6"/>
      <c r="AI9" s="6"/>
      <c r="AJ9" s="1"/>
      <c r="AY9" t="s">
        <v>10</v>
      </c>
      <c r="AZ9" s="1">
        <f>AZ5*0.15</f>
        <v>150000</v>
      </c>
      <c r="BA9" s="1">
        <f>BB9/BB5*BA5</f>
        <v>202303.20927682184</v>
      </c>
      <c r="BB9" s="1">
        <f>C5</f>
        <v>2328447</v>
      </c>
      <c r="BC9" s="1">
        <f>C193</f>
        <v>215891</v>
      </c>
      <c r="BD9" s="1">
        <f>+BB9-BC9</f>
        <v>2112556</v>
      </c>
      <c r="BE9" s="1"/>
      <c r="BF9" s="1"/>
      <c r="BG9" s="1"/>
      <c r="BH9" s="6">
        <f>+BD9/BB9</f>
        <v>0.90728111913219411</v>
      </c>
    </row>
    <row r="10" spans="1:63" ht="15.6">
      <c r="A10" s="2">
        <f t="shared" si="0"/>
        <v>44210</v>
      </c>
      <c r="B10" s="2">
        <f t="shared" si="0"/>
        <v>44235</v>
      </c>
      <c r="C10" s="1">
        <f>+C11+4535</f>
        <v>2288545</v>
      </c>
      <c r="D10" s="1">
        <f>+D11+158</f>
        <v>61675</v>
      </c>
      <c r="E10" s="1">
        <f>+E11+100*121</f>
        <v>2041300</v>
      </c>
      <c r="F10" s="1">
        <f>+A!C10-A!D10-A!E10</f>
        <v>185570</v>
      </c>
      <c r="G10" s="1"/>
      <c r="H10" s="4">
        <f>SUM(A!J10:J16)/7*1000000/A!H$3-SUM(A!F10:F16)/7*(1-A!N$3)</f>
        <v>168309.11746031744</v>
      </c>
      <c r="I10" s="7">
        <f>SUM(A!F7:F13)/7</f>
        <v>180510.85714285713</v>
      </c>
      <c r="J10" s="1">
        <v>3957</v>
      </c>
      <c r="K10" s="1">
        <v>147</v>
      </c>
      <c r="M10" s="4">
        <f>A!D10-A!D11</f>
        <v>158</v>
      </c>
      <c r="N10" s="11">
        <f>SUM(A!P10:P16)/7*A!N$3</f>
        <v>190.2114285714286</v>
      </c>
      <c r="P10" s="4">
        <f t="shared" si="1"/>
        <v>4535</v>
      </c>
      <c r="Q10" s="1">
        <f>SUM(A!P7:P13)/7</f>
        <v>8318.8571428571431</v>
      </c>
      <c r="S10" s="2">
        <f>A!B46</f>
        <v>44199</v>
      </c>
      <c r="T10" s="1">
        <f>+A!U10-A!U11</f>
        <v>124808</v>
      </c>
      <c r="U10" s="1">
        <f>A!C46</f>
        <v>1765666</v>
      </c>
      <c r="V10" s="1">
        <v>844502</v>
      </c>
      <c r="W10" s="1">
        <f>SUM(AC44:AC50)/7</f>
        <v>153220.55918069292</v>
      </c>
      <c r="X10" s="1">
        <f>SUM(AD44:AD50)/7</f>
        <v>6701411.3997442741</v>
      </c>
      <c r="AA10" t="s">
        <v>6</v>
      </c>
      <c r="AB10" t="s">
        <v>10</v>
      </c>
      <c r="AC10" s="6" t="s">
        <v>11</v>
      </c>
      <c r="AD10" s="6" t="s">
        <v>8</v>
      </c>
      <c r="AE10" s="1"/>
      <c r="AF10" s="10"/>
      <c r="AG10" s="6" t="s">
        <v>11</v>
      </c>
      <c r="AH10" s="6" t="s">
        <v>8</v>
      </c>
      <c r="AI10" s="6" t="s">
        <v>6</v>
      </c>
      <c r="AJ10" s="1"/>
      <c r="AY10" t="s">
        <v>31</v>
      </c>
      <c r="AZ10" s="1">
        <f>+AZ5-AZ6</f>
        <v>45000</v>
      </c>
      <c r="BA10" s="1">
        <f>BC10/BC5*AZ5</f>
        <v>20840.12687801334</v>
      </c>
      <c r="BB10" s="1"/>
      <c r="BC10" s="1">
        <f>BE22/BG22</f>
        <v>34070.365648037456</v>
      </c>
      <c r="BD10" s="1"/>
      <c r="BE10" s="1"/>
      <c r="BF10" s="1"/>
      <c r="BG10" s="1"/>
      <c r="BH10" s="1"/>
    </row>
    <row r="11" spans="1:63" ht="15.6">
      <c r="A11" s="2">
        <f t="shared" si="0"/>
        <v>44209</v>
      </c>
      <c r="B11" s="2">
        <f t="shared" si="0"/>
        <v>44234</v>
      </c>
      <c r="C11" s="1">
        <f>+C12+8616</f>
        <v>2284010</v>
      </c>
      <c r="D11" s="1">
        <f>+D12+231</f>
        <v>61517</v>
      </c>
      <c r="E11" s="1">
        <f>+E12+100*83</f>
        <v>2029200</v>
      </c>
      <c r="F11" s="1">
        <f>+A!C11-A!D11-A!E11</f>
        <v>193293</v>
      </c>
      <c r="G11" s="1"/>
      <c r="H11" s="4">
        <f>SUM(A!J11:J17)/7*1000000/A!H$3-SUM(A!F11:F17)/7*(1-A!N$3)</f>
        <v>166828.69809523807</v>
      </c>
      <c r="I11" s="7">
        <f>SUM(A!F8:F14)/7</f>
        <v>186548.14285714287</v>
      </c>
      <c r="J11" s="1">
        <v>3933</v>
      </c>
      <c r="K11" s="1">
        <v>104</v>
      </c>
      <c r="M11" s="4">
        <f>A!D11-A!D12</f>
        <v>231</v>
      </c>
      <c r="N11" s="11">
        <f>SUM(A!P11:P17)/7*A!N$3</f>
        <v>193.27714285714288</v>
      </c>
      <c r="P11" s="4">
        <f t="shared" si="1"/>
        <v>8616</v>
      </c>
      <c r="Q11" s="1">
        <f>SUM(A!P8:P14)/7</f>
        <v>8886.5714285714294</v>
      </c>
      <c r="S11" s="2">
        <f>A!B53</f>
        <v>44192</v>
      </c>
      <c r="T11" s="1">
        <f>+A!U11-A!U12</f>
        <v>146849</v>
      </c>
      <c r="U11" s="1">
        <f>A!C53</f>
        <v>1640858</v>
      </c>
      <c r="V11" s="1">
        <v>1091482</v>
      </c>
      <c r="W11" s="1">
        <f>SUM(AC51:AC57)/7</f>
        <v>114720.11801303383</v>
      </c>
      <c r="X11" s="1">
        <f>SUM(AD51:AD57)/7</f>
        <v>5056715.2986251395</v>
      </c>
      <c r="Z11" s="10">
        <f t="shared" ref="Z11:Z19" si="3">AF11</f>
        <v>44232</v>
      </c>
      <c r="AA11" s="1">
        <f t="shared" ref="AA11:AA19" si="4">AI11*AI$3*2</f>
        <v>2274068</v>
      </c>
      <c r="AB11" s="1">
        <f t="shared" ref="AB11:AB19" si="5">I11</f>
        <v>186548.14285714287</v>
      </c>
      <c r="AC11" s="1">
        <f t="shared" ref="AC11:AC19" si="6">SUM(F8:F15)/7/(1-AG11)*AG11</f>
        <v>178994.96412586753</v>
      </c>
      <c r="AD11" s="1">
        <f t="shared" ref="AD11:AD19" si="7">SUM(F8:F15)/7/(1-AH11)*AH11</f>
        <v>0</v>
      </c>
      <c r="AE11" s="1"/>
      <c r="AF11" s="10">
        <f t="shared" ref="AF11:AF18" si="8">B13</f>
        <v>44232</v>
      </c>
      <c r="AG11" s="6">
        <f t="shared" ref="AG11:AG18" si="9">H13/(H13+I13)</f>
        <v>0.45324430107960367</v>
      </c>
      <c r="AH11" s="6"/>
      <c r="AI11" s="6">
        <f t="shared" ref="AI11:AI18" si="10">V$6/V$57*AI$4</f>
        <v>1.3342057907728153</v>
      </c>
      <c r="AK11" s="7"/>
      <c r="AL11" s="7"/>
      <c r="AY11" t="s">
        <v>30</v>
      </c>
      <c r="AZ11" s="1">
        <f>+AZ10*0.75</f>
        <v>33750</v>
      </c>
      <c r="BA11" s="1">
        <f>+BA10-BA12</f>
        <v>14972.461761087696</v>
      </c>
      <c r="BB11" s="1"/>
      <c r="BC11" s="1"/>
      <c r="BD11" s="1"/>
      <c r="BE11" s="1"/>
      <c r="BF11" s="1"/>
      <c r="BG11" s="1"/>
      <c r="BH11" s="1"/>
    </row>
    <row r="12" spans="1:63" ht="15.6">
      <c r="A12" s="2">
        <f t="shared" si="0"/>
        <v>44208</v>
      </c>
      <c r="B12" s="2">
        <f t="shared" si="0"/>
        <v>44233</v>
      </c>
      <c r="C12" s="1">
        <f>+C13+10485</f>
        <v>2275394</v>
      </c>
      <c r="D12" s="1">
        <f>+D13+689</f>
        <v>61286</v>
      </c>
      <c r="E12" s="1">
        <f>+E13+100*127</f>
        <v>2020900</v>
      </c>
      <c r="F12" s="1">
        <f>+A!C12-A!D12-A!E12</f>
        <v>193208</v>
      </c>
      <c r="G12" s="1"/>
      <c r="H12" s="4">
        <f>SUM(A!J12:J18)/7*1000000/A!H$3-SUM(A!F12:F18)/7*(1-A!N$3)</f>
        <v>165929.83301587304</v>
      </c>
      <c r="I12" s="7">
        <f>SUM(A!F9:F15)/7</f>
        <v>192506.28571428571</v>
      </c>
      <c r="J12" s="1">
        <v>3965</v>
      </c>
      <c r="K12" s="1">
        <v>129</v>
      </c>
      <c r="M12" s="4">
        <f>A!D12-A!D13</f>
        <v>689</v>
      </c>
      <c r="N12" s="11">
        <f>SUM(A!P12:P18)/7*A!N$3</f>
        <v>200.63714285714286</v>
      </c>
      <c r="P12" s="4">
        <f t="shared" si="1"/>
        <v>10485</v>
      </c>
      <c r="Q12" s="1">
        <f>SUM(A!P9:P15)/7</f>
        <v>9119.8571428571431</v>
      </c>
      <c r="S12" s="2">
        <f>A!B60</f>
        <v>44185</v>
      </c>
      <c r="T12" s="1">
        <f>+A!U12-A!U13</f>
        <v>173293</v>
      </c>
      <c r="U12" s="1">
        <f>A!C60</f>
        <v>1494009</v>
      </c>
      <c r="V12" s="1">
        <v>1672033</v>
      </c>
      <c r="W12" s="1">
        <f>SUM(AC58:AC64)/7</f>
        <v>108518.35918355706</v>
      </c>
      <c r="X12" s="1">
        <f>SUM(AD58:AD64)/7</f>
        <v>4070213.9986174414</v>
      </c>
      <c r="Z12" s="10">
        <f t="shared" si="3"/>
        <v>44231</v>
      </c>
      <c r="AA12" s="1">
        <f t="shared" si="4"/>
        <v>2274068</v>
      </c>
      <c r="AB12" s="1">
        <f t="shared" si="5"/>
        <v>192506.28571428571</v>
      </c>
      <c r="AC12" s="1">
        <f t="shared" si="6"/>
        <v>177296.99345382882</v>
      </c>
      <c r="AD12" s="1">
        <f t="shared" si="7"/>
        <v>0</v>
      </c>
      <c r="AE12" s="1"/>
      <c r="AF12" s="10">
        <f t="shared" si="8"/>
        <v>44231</v>
      </c>
      <c r="AG12" s="6">
        <f t="shared" si="9"/>
        <v>0.44251124105062173</v>
      </c>
      <c r="AH12" s="6"/>
      <c r="AI12" s="6">
        <f t="shared" si="10"/>
        <v>1.3342057907728153</v>
      </c>
      <c r="AJ12" s="1"/>
      <c r="AY12" t="s">
        <v>32</v>
      </c>
      <c r="AZ12" s="1">
        <f>+AZ10-AZ11</f>
        <v>11250</v>
      </c>
      <c r="BA12" s="1">
        <f>(BE12+5000)/BB5*AZ5</f>
        <v>5867.6651169256438</v>
      </c>
      <c r="BB12" s="1"/>
      <c r="BC12" s="1"/>
      <c r="BD12" s="1"/>
      <c r="BE12" s="1">
        <v>62535</v>
      </c>
      <c r="BF12" s="1">
        <v>15884</v>
      </c>
      <c r="BG12" s="1">
        <f>+BE12-BF12</f>
        <v>46651</v>
      </c>
      <c r="BH12" s="1"/>
    </row>
    <row r="13" spans="1:63" ht="15.6">
      <c r="A13" s="2">
        <f t="shared" si="0"/>
        <v>44207</v>
      </c>
      <c r="B13" s="2">
        <f t="shared" si="0"/>
        <v>44232</v>
      </c>
      <c r="C13" s="1">
        <f>+C14+12908</f>
        <v>2264909</v>
      </c>
      <c r="D13" s="1">
        <f>+D14+855</f>
        <v>60597</v>
      </c>
      <c r="E13" s="1">
        <f>+E14+100*172</f>
        <v>2008200</v>
      </c>
      <c r="F13" s="1">
        <f>+A!C13-A!D13-A!E13</f>
        <v>196112</v>
      </c>
      <c r="G13" s="1"/>
      <c r="H13" s="4">
        <f>SUM(A!J13:J19)/7*1000000/A!H$3-SUM(A!F13:F19)/7*(1-A!N$3)</f>
        <v>164737.73873015872</v>
      </c>
      <c r="I13" s="7">
        <f>SUM(A!F10:F16)/7</f>
        <v>198725.71428571429</v>
      </c>
      <c r="J13" s="1">
        <v>4072</v>
      </c>
      <c r="K13" s="1">
        <v>171</v>
      </c>
      <c r="M13" s="4">
        <f>A!D13-A!D14</f>
        <v>855</v>
      </c>
      <c r="N13" s="11">
        <f>SUM(A!P13:P19)/7*A!N$3</f>
        <v>205.88285714285715</v>
      </c>
      <c r="P13" s="4">
        <f t="shared" si="1"/>
        <v>12908</v>
      </c>
      <c r="Q13" s="1">
        <f>SUM(A!P10:P16)/7</f>
        <v>9510.5714285714294</v>
      </c>
      <c r="S13" s="2">
        <f>A!B67</f>
        <v>44178</v>
      </c>
      <c r="T13" s="1">
        <f>+A!U13-A!U14</f>
        <v>149393</v>
      </c>
      <c r="U13" s="1">
        <f>A!C67</f>
        <v>1320716</v>
      </c>
      <c r="V13" s="1">
        <v>1516038</v>
      </c>
      <c r="W13" s="1">
        <f>SUM(AC65:AC71)/7</f>
        <v>90760.653920373326</v>
      </c>
      <c r="X13" s="1">
        <f>SUM(AD65:AD71)/7</f>
        <v>4549743.0646693334</v>
      </c>
      <c r="Z13" s="10">
        <f t="shared" si="3"/>
        <v>44230</v>
      </c>
      <c r="AA13" s="1">
        <f t="shared" si="4"/>
        <v>2274068</v>
      </c>
      <c r="AB13" s="1">
        <f t="shared" si="5"/>
        <v>198725.71428571429</v>
      </c>
      <c r="AC13" s="1">
        <f t="shared" si="6"/>
        <v>175846.09973956406</v>
      </c>
      <c r="AD13" s="1">
        <f t="shared" si="7"/>
        <v>0</v>
      </c>
      <c r="AE13" s="1"/>
      <c r="AF13" s="10">
        <f t="shared" si="8"/>
        <v>44230</v>
      </c>
      <c r="AG13" s="6">
        <f t="shared" si="9"/>
        <v>0.43171279320531281</v>
      </c>
      <c r="AH13" s="6"/>
      <c r="AI13" s="6">
        <f t="shared" si="10"/>
        <v>1.3342057907728153</v>
      </c>
      <c r="AJ13" s="1"/>
      <c r="AY13" t="s">
        <v>30</v>
      </c>
      <c r="AZ13" s="1">
        <f>+AZ12/2</f>
        <v>5625</v>
      </c>
      <c r="BA13" s="1">
        <f>BA12*BE13</f>
        <v>4266.1730210483447</v>
      </c>
      <c r="BB13" s="1"/>
      <c r="BC13" s="1"/>
      <c r="BD13" s="1"/>
      <c r="BE13" s="6">
        <f>1-BE14/BE12</f>
        <v>0.72706484368753499</v>
      </c>
      <c r="BF13" s="6">
        <f t="shared" ref="BF13:BG13" si="11">1-BF14/BF12</f>
        <v>0.75220347519516495</v>
      </c>
      <c r="BG13" s="6">
        <f t="shared" si="11"/>
        <v>0.71850549827442067</v>
      </c>
      <c r="BH13" s="1"/>
      <c r="BI13">
        <f>+BE13*100</f>
        <v>72.706484368753493</v>
      </c>
    </row>
    <row r="14" spans="1:63" ht="15.6">
      <c r="A14" s="2">
        <f t="shared" si="0"/>
        <v>44206</v>
      </c>
      <c r="B14" s="2">
        <f t="shared" si="0"/>
        <v>44231</v>
      </c>
      <c r="C14" s="1">
        <f>+C15+14211</f>
        <v>2252001</v>
      </c>
      <c r="D14" s="1">
        <f>+D15+786</f>
        <v>59742</v>
      </c>
      <c r="E14" s="1">
        <f>+E15+100*178</f>
        <v>1991000</v>
      </c>
      <c r="F14" s="1">
        <f>+A!C14-A!D14-A!E14</f>
        <v>201259</v>
      </c>
      <c r="G14" s="1"/>
      <c r="H14" s="4">
        <f>SUM(A!J14:J20)/7*1000000/A!H$3-SUM(A!F14:F20)/7*(1-A!N$3)</f>
        <v>162693.31777777776</v>
      </c>
      <c r="I14" s="7">
        <f>SUM(A!F11:F17)/7</f>
        <v>204965.85714285713</v>
      </c>
      <c r="J14" s="1">
        <v>4178</v>
      </c>
      <c r="K14" s="1">
        <v>168</v>
      </c>
      <c r="M14" s="4">
        <f>A!D14-A!D15</f>
        <v>786</v>
      </c>
      <c r="N14" s="11">
        <f>SUM(A!P14:P20)/7*A!N$3</f>
        <v>209.06571428571428</v>
      </c>
      <c r="P14" s="4">
        <f t="shared" si="1"/>
        <v>14211</v>
      </c>
      <c r="Q14" s="1">
        <f>SUM(A!P11:P17)/7</f>
        <v>9663.8571428571431</v>
      </c>
      <c r="S14" s="2">
        <f>A!B74</f>
        <v>44171</v>
      </c>
      <c r="T14" s="1">
        <f>+A!U14-A!U15</f>
        <v>128623</v>
      </c>
      <c r="U14" s="1">
        <f>A!C74</f>
        <v>1171323</v>
      </c>
      <c r="V14" s="1">
        <v>1395790</v>
      </c>
      <c r="W14" s="1">
        <f>SUM(AC72:AC78)/7</f>
        <v>67042.526241722589</v>
      </c>
      <c r="X14" s="1">
        <f>SUM(AD72:AD78)/7</f>
        <v>3423408.4080596059</v>
      </c>
      <c r="Z14" s="10">
        <f t="shared" si="3"/>
        <v>44229</v>
      </c>
      <c r="AA14" s="1">
        <f t="shared" si="4"/>
        <v>2274068</v>
      </c>
      <c r="AB14" s="1">
        <f t="shared" si="5"/>
        <v>204965.85714285713</v>
      </c>
      <c r="AC14" s="1">
        <f t="shared" si="6"/>
        <v>174713.26549960088</v>
      </c>
      <c r="AD14" s="1">
        <f t="shared" si="7"/>
        <v>0</v>
      </c>
      <c r="AE14" s="1"/>
      <c r="AF14" s="10">
        <f t="shared" si="8"/>
        <v>44229</v>
      </c>
      <c r="AG14" s="6">
        <f t="shared" si="9"/>
        <v>0.42238119320971673</v>
      </c>
      <c r="AH14" s="6"/>
      <c r="AI14" s="6">
        <f t="shared" si="10"/>
        <v>1.3342057907728153</v>
      </c>
      <c r="AJ14" s="1"/>
      <c r="AY14" t="s">
        <v>33</v>
      </c>
      <c r="AZ14" s="1">
        <f>+AZ12-AZ13</f>
        <v>5625</v>
      </c>
      <c r="BA14" s="1">
        <f>+BA12-BA13</f>
        <v>1601.4920958772991</v>
      </c>
      <c r="BB14" s="1">
        <f>D5</f>
        <v>64742</v>
      </c>
      <c r="BC14" s="1">
        <f>D193</f>
        <v>9196</v>
      </c>
      <c r="BD14" s="1">
        <f>+BB14-BC14</f>
        <v>55546</v>
      </c>
      <c r="BE14" s="1">
        <v>17068</v>
      </c>
      <c r="BF14" s="1">
        <v>3936</v>
      </c>
      <c r="BG14" s="1">
        <f>+BE14-BF14</f>
        <v>13132</v>
      </c>
      <c r="BH14" s="6">
        <f>+BD14/BB14</f>
        <v>0.85795928454480863</v>
      </c>
      <c r="BI14">
        <f>BB14/BE14</f>
        <v>3.7931802202952896</v>
      </c>
      <c r="BJ14">
        <f t="shared" ref="BJ14:BK14" si="12">BC14/BF14</f>
        <v>2.3363821138211383</v>
      </c>
      <c r="BK14">
        <f t="shared" si="12"/>
        <v>4.2298202863234851</v>
      </c>
    </row>
    <row r="15" spans="1:63" ht="15.6">
      <c r="A15" s="2">
        <f t="shared" si="0"/>
        <v>44205</v>
      </c>
      <c r="B15" s="2">
        <f t="shared" si="0"/>
        <v>44230</v>
      </c>
      <c r="C15" s="1">
        <f>+C16+9705</f>
        <v>2237790</v>
      </c>
      <c r="D15" s="1">
        <f>+D16+975</f>
        <v>58956</v>
      </c>
      <c r="E15" s="1">
        <f>+E16+100*191</f>
        <v>1973200</v>
      </c>
      <c r="F15" s="1">
        <f>+A!C15-A!D15-A!E15</f>
        <v>205634</v>
      </c>
      <c r="G15" s="1"/>
      <c r="H15" s="4">
        <f>SUM(A!J15:J21)/7*1000000/A!H$3-SUM(A!F15:F21)/7*(1-A!N$3)</f>
        <v>160528.3666666667</v>
      </c>
      <c r="I15" s="7">
        <f>SUM(A!F12:F18)/7</f>
        <v>211312.28571428571</v>
      </c>
      <c r="J15" s="1">
        <v>4222</v>
      </c>
      <c r="K15" s="1">
        <v>183</v>
      </c>
      <c r="M15" s="4">
        <f>A!D15-A!D16</f>
        <v>975</v>
      </c>
      <c r="N15" s="11">
        <f>SUM(A!P15:P21)/7*A!N$3</f>
        <v>218.61428571428573</v>
      </c>
      <c r="P15" s="4">
        <f t="shared" si="1"/>
        <v>9705</v>
      </c>
      <c r="Q15" s="1">
        <f>SUM(A!P12:P18)/7</f>
        <v>10031.857142857143</v>
      </c>
      <c r="S15" s="2">
        <f>A!B81</f>
        <v>44164</v>
      </c>
      <c r="T15" s="1">
        <f>+A!U15-A!U16</f>
        <v>124431</v>
      </c>
      <c r="U15" s="1">
        <f>A!C81</f>
        <v>1042700</v>
      </c>
      <c r="V15" s="1">
        <v>1381117</v>
      </c>
      <c r="W15" s="1">
        <f>SUM(AC79:AC85)/7</f>
        <v>51116.187770368932</v>
      </c>
      <c r="X15" s="1">
        <f>SUM(AD79:AD85)/7</f>
        <v>2526851.6277571805</v>
      </c>
      <c r="Z15" s="10">
        <f t="shared" si="3"/>
        <v>44228</v>
      </c>
      <c r="AA15" s="1">
        <f t="shared" si="4"/>
        <v>2274068</v>
      </c>
      <c r="AB15" s="1">
        <f t="shared" si="5"/>
        <v>211312.28571428571</v>
      </c>
      <c r="AC15" s="1">
        <f t="shared" si="6"/>
        <v>173328.69901669738</v>
      </c>
      <c r="AD15" s="1">
        <f t="shared" si="7"/>
        <v>0</v>
      </c>
      <c r="AE15" s="1"/>
      <c r="AF15" s="10">
        <f t="shared" si="8"/>
        <v>44228</v>
      </c>
      <c r="AG15" s="6">
        <f t="shared" si="9"/>
        <v>0.41419314070578211</v>
      </c>
      <c r="AH15" s="6"/>
      <c r="AI15" s="6">
        <f t="shared" si="10"/>
        <v>1.3342057907728153</v>
      </c>
      <c r="AJ15" s="1"/>
      <c r="AY15" t="s">
        <v>40</v>
      </c>
      <c r="AZ15" s="1">
        <v>0</v>
      </c>
      <c r="BA15" s="1">
        <f>+AZ14-BA14</f>
        <v>4023.5079041227009</v>
      </c>
      <c r="BB15" s="1"/>
      <c r="BC15" s="1"/>
      <c r="BD15" s="1"/>
      <c r="BE15" s="1"/>
      <c r="BF15" s="1"/>
      <c r="BG15" s="1"/>
    </row>
    <row r="16" spans="1:63" ht="15.6">
      <c r="A16" s="2">
        <f t="shared" si="0"/>
        <v>44204</v>
      </c>
      <c r="B16" s="2">
        <f t="shared" si="0"/>
        <v>44229</v>
      </c>
      <c r="C16" s="1">
        <f>+C17+6114</f>
        <v>2228085</v>
      </c>
      <c r="D16" s="1">
        <f>+D17+861</f>
        <v>57981</v>
      </c>
      <c r="E16" s="1">
        <f>+E17+100*185</f>
        <v>1954100</v>
      </c>
      <c r="F16" s="1">
        <f>+A!C16-A!D16-A!E16</f>
        <v>216004</v>
      </c>
      <c r="G16" s="1"/>
      <c r="H16" s="4">
        <f>SUM(A!J16:J22)/7*1000000/A!H$3-SUM(A!F16:F22)/7*(1-A!N$3)</f>
        <v>159077.56380952385</v>
      </c>
      <c r="I16" s="7">
        <f>SUM(A!F13:F19)/7</f>
        <v>217543.28571428571</v>
      </c>
      <c r="J16" s="1">
        <v>4264</v>
      </c>
      <c r="K16" s="1">
        <v>147</v>
      </c>
      <c r="M16" s="4">
        <f>A!D16-A!D17</f>
        <v>861</v>
      </c>
      <c r="N16" s="11">
        <f>SUM(A!P16:P22)/7*A!N$3</f>
        <v>228.59428571428572</v>
      </c>
      <c r="P16" s="4">
        <f t="shared" si="1"/>
        <v>6114</v>
      </c>
      <c r="Q16" s="1">
        <f>SUM(A!P13:P19)/7</f>
        <v>10294.142857142857</v>
      </c>
      <c r="S16" s="2">
        <f>A!B88</f>
        <v>44157</v>
      </c>
      <c r="T16" s="1">
        <f>+A!U16-A!U17</f>
        <v>127766</v>
      </c>
      <c r="U16" s="1">
        <f>A!C88</f>
        <v>918269</v>
      </c>
      <c r="V16" s="1">
        <f>1367570+714168-500000</f>
        <v>1581738</v>
      </c>
      <c r="W16" s="1">
        <f>SUM(AC86:AC92)/7</f>
        <v>45917.404662375651</v>
      </c>
      <c r="X16" s="1">
        <f>SUM(AD86:AD92)/7</f>
        <v>2010929.6673711948</v>
      </c>
      <c r="Z16" s="10">
        <f t="shared" si="3"/>
        <v>44227</v>
      </c>
      <c r="AA16" s="1">
        <f t="shared" si="4"/>
        <v>2274068</v>
      </c>
      <c r="AB16" s="1">
        <f t="shared" si="5"/>
        <v>217543.28571428571</v>
      </c>
      <c r="AC16" s="1">
        <f t="shared" si="6"/>
        <v>172032.61264322104</v>
      </c>
      <c r="AD16" s="1">
        <f t="shared" si="7"/>
        <v>0</v>
      </c>
      <c r="AE16" s="1"/>
      <c r="AF16" s="10">
        <f t="shared" si="8"/>
        <v>44227</v>
      </c>
      <c r="AG16" s="6">
        <f t="shared" si="9"/>
        <v>0.40611641506842378</v>
      </c>
      <c r="AH16" s="6"/>
      <c r="AI16" s="6">
        <f t="shared" si="10"/>
        <v>1.3342057907728153</v>
      </c>
      <c r="AJ16" s="1"/>
      <c r="AY16" t="s">
        <v>30</v>
      </c>
      <c r="AZ16" s="1">
        <f>+AZ13+AZ11+AZ6</f>
        <v>994375</v>
      </c>
      <c r="BA16" s="1">
        <f>+AZ16</f>
        <v>994375</v>
      </c>
      <c r="BB16" s="1"/>
      <c r="BC16" s="1"/>
      <c r="BD16" s="1"/>
      <c r="BE16" s="1"/>
      <c r="BF16" s="1"/>
      <c r="BG16" s="1"/>
      <c r="BH16" s="1"/>
    </row>
    <row r="17" spans="1:60" ht="15.6">
      <c r="A17" s="2">
        <f t="shared" si="0"/>
        <v>44203</v>
      </c>
      <c r="B17" s="2">
        <f t="shared" si="0"/>
        <v>44228</v>
      </c>
      <c r="C17" s="1">
        <f>+C18+5608</f>
        <v>2221971</v>
      </c>
      <c r="D17" s="1">
        <f>+D18+175</f>
        <v>57120</v>
      </c>
      <c r="E17" s="1">
        <f>+E18+100*139</f>
        <v>1935600</v>
      </c>
      <c r="F17" s="1">
        <f>+A!C17-A!D17-A!E17</f>
        <v>229251</v>
      </c>
      <c r="G17" s="1"/>
      <c r="H17" s="4">
        <f>SUM(A!J17:J23)/7*1000000/A!H$3-SUM(A!F17:F23)/7*(1-A!N$3)</f>
        <v>158064.35650793643</v>
      </c>
      <c r="I17" s="7">
        <f>SUM(A!F14:F20)/7</f>
        <v>223555.57142857142</v>
      </c>
      <c r="J17" s="1">
        <v>4322</v>
      </c>
      <c r="K17" s="1">
        <v>171</v>
      </c>
      <c r="M17" s="4">
        <f>A!D17-A!D18</f>
        <v>175</v>
      </c>
      <c r="N17" s="11">
        <f>SUM(A!P17:P23)/7*A!N$3</f>
        <v>229.44571428571427</v>
      </c>
      <c r="P17" s="4">
        <f t="shared" si="1"/>
        <v>5608</v>
      </c>
      <c r="Q17" s="1">
        <f>SUM(A!P14:P20)/7</f>
        <v>10453.285714285714</v>
      </c>
      <c r="S17" s="2">
        <f>A!B95</f>
        <v>44150</v>
      </c>
      <c r="T17" s="1">
        <f>+A!U17-A!U18</f>
        <v>131998</v>
      </c>
      <c r="U17" s="1">
        <f>A!C95</f>
        <v>790503</v>
      </c>
      <c r="V17" s="1">
        <f>1396087+200000</f>
        <v>1596087</v>
      </c>
      <c r="W17" s="1">
        <f>SUM(AC93:AC99)/7</f>
        <v>47513.709745571025</v>
      </c>
      <c r="X17" s="1">
        <f>SUM(AD93:AD99)/7</f>
        <v>1293838.1570564124</v>
      </c>
      <c r="Z17" s="10">
        <f t="shared" si="3"/>
        <v>44226</v>
      </c>
      <c r="AA17" s="1">
        <f t="shared" si="4"/>
        <v>2274068</v>
      </c>
      <c r="AB17" s="1">
        <f t="shared" si="5"/>
        <v>223555.57142857142</v>
      </c>
      <c r="AC17" s="1">
        <f t="shared" si="6"/>
        <v>170529.45138329745</v>
      </c>
      <c r="AD17" s="1">
        <f t="shared" si="7"/>
        <v>0</v>
      </c>
      <c r="AE17" s="1"/>
      <c r="AF17" s="10">
        <f t="shared" si="8"/>
        <v>44226</v>
      </c>
      <c r="AG17" s="6">
        <f t="shared" si="9"/>
        <v>0.39805992914510951</v>
      </c>
      <c r="AH17" s="6"/>
      <c r="AI17" s="6">
        <f t="shared" si="10"/>
        <v>1.3342057907728153</v>
      </c>
      <c r="AJ17" s="1"/>
      <c r="AY17" t="s">
        <v>9</v>
      </c>
      <c r="AZ17" s="1">
        <f>AZ8</f>
        <v>850000</v>
      </c>
      <c r="BA17" s="1">
        <f>BB17/BB5*BA5</f>
        <v>792071.79072317807</v>
      </c>
      <c r="BB17" s="1">
        <f>BB5-BB9-BB14</f>
        <v>9116499.8888888881</v>
      </c>
      <c r="BC17" s="1">
        <f t="shared" ref="BC17:BD17" si="13">BC5-BC9-BC14</f>
        <v>1409757.4444444445</v>
      </c>
      <c r="BD17" s="1">
        <f t="shared" si="13"/>
        <v>7706742.4444444459</v>
      </c>
      <c r="BE17" s="1"/>
      <c r="BF17" s="1"/>
      <c r="BG17" s="1"/>
      <c r="BH17" s="6">
        <f>+BD17/BB17</f>
        <v>0.84536198523266126</v>
      </c>
    </row>
    <row r="18" spans="1:60" ht="15.6">
      <c r="A18" s="2">
        <f t="shared" si="0"/>
        <v>44202</v>
      </c>
      <c r="B18" s="2">
        <f t="shared" si="0"/>
        <v>44227</v>
      </c>
      <c r="C18" s="1">
        <f>+C19+11192</f>
        <v>2216363</v>
      </c>
      <c r="D18" s="1">
        <f>+D19+399</f>
        <v>56945</v>
      </c>
      <c r="E18" s="1">
        <f>+E19+100*99</f>
        <v>1921700</v>
      </c>
      <c r="F18" s="1">
        <f>+A!C18-A!D18-A!E18</f>
        <v>237718</v>
      </c>
      <c r="G18" s="1"/>
      <c r="H18" s="4">
        <f>SUM(A!J18:J24)/7*1000000/A!H$3-SUM(A!F18:F24)/7*(1-A!N$3)</f>
        <v>156680.00507936502</v>
      </c>
      <c r="I18" s="7">
        <f>SUM(A!F15:F21)/7</f>
        <v>229120.71428571429</v>
      </c>
      <c r="J18" s="1">
        <v>4352</v>
      </c>
      <c r="K18" s="1">
        <v>109</v>
      </c>
      <c r="L18" s="1"/>
      <c r="M18" s="4">
        <f>A!D18-A!D19</f>
        <v>399</v>
      </c>
      <c r="N18" s="11">
        <f>SUM(A!P18:P24)/7*A!N$3</f>
        <v>232.64857142857142</v>
      </c>
      <c r="P18" s="4">
        <f t="shared" si="1"/>
        <v>11192</v>
      </c>
      <c r="Q18" s="1">
        <f>SUM(A!P15:P21)/7</f>
        <v>10930.714285714286</v>
      </c>
      <c r="S18" s="2">
        <f>A!B102</f>
        <v>44143</v>
      </c>
      <c r="T18" s="1">
        <f>+A!U18-A!U19</f>
        <v>125575</v>
      </c>
      <c r="U18" s="1">
        <f>A!C102</f>
        <v>658505</v>
      </c>
      <c r="V18" s="1">
        <f>1598527-57582</f>
        <v>1540945</v>
      </c>
      <c r="W18" s="1">
        <f>SUM(AC100:AC106)/7</f>
        <v>37582.379148941203</v>
      </c>
      <c r="X18" s="1">
        <f>SUM(AD100:AD106)/7</f>
        <v>786600.47417151555</v>
      </c>
      <c r="Z18" s="10">
        <f t="shared" si="3"/>
        <v>44225</v>
      </c>
      <c r="AA18" s="1">
        <f t="shared" si="4"/>
        <v>2274068</v>
      </c>
      <c r="AB18" s="1">
        <f t="shared" si="5"/>
        <v>229120.71428571429</v>
      </c>
      <c r="AC18" s="1">
        <f t="shared" si="6"/>
        <v>167915.46592886068</v>
      </c>
      <c r="AD18" s="1">
        <f t="shared" si="7"/>
        <v>3898586.8065051548</v>
      </c>
      <c r="AF18" s="10">
        <f t="shared" si="8"/>
        <v>44225</v>
      </c>
      <c r="AG18" s="6">
        <f t="shared" si="9"/>
        <v>0.38913635759180737</v>
      </c>
      <c r="AH18" s="6">
        <f t="shared" ref="AH11:AH18" si="14">O20/(O20+Q20)</f>
        <v>0.93666957920505833</v>
      </c>
      <c r="AI18" s="6">
        <f t="shared" si="10"/>
        <v>1.3342057907728153</v>
      </c>
      <c r="AJ18" s="1"/>
      <c r="AY18" t="s">
        <v>10</v>
      </c>
      <c r="AZ18" s="1">
        <f>+AZ16-AZ17</f>
        <v>144375</v>
      </c>
      <c r="BA18" s="1">
        <f>BB18/BB5*BA5</f>
        <v>183497.57498996018</v>
      </c>
      <c r="BB18" s="1">
        <f>E5</f>
        <v>2112000</v>
      </c>
      <c r="BC18" s="1">
        <f>E193</f>
        <v>196800</v>
      </c>
      <c r="BD18" s="1">
        <f>+BB18-BC18</f>
        <v>1915200</v>
      </c>
      <c r="BE18" s="1"/>
      <c r="BF18" s="1"/>
      <c r="BG18" s="1"/>
      <c r="BH18" s="6">
        <f>+BD18/BB18</f>
        <v>0.90681818181818186</v>
      </c>
    </row>
    <row r="19" spans="1:60" ht="15.6">
      <c r="A19" s="2">
        <f t="shared" si="0"/>
        <v>44201</v>
      </c>
      <c r="B19" s="2">
        <f t="shared" si="0"/>
        <v>44226</v>
      </c>
      <c r="C19" s="1">
        <f>+C20+12321</f>
        <v>2205171</v>
      </c>
      <c r="D19" s="1">
        <f>+D20+794</f>
        <v>56546</v>
      </c>
      <c r="E19" s="1">
        <f>+E20+100*129</f>
        <v>1911800</v>
      </c>
      <c r="F19" s="1">
        <f>+A!C19-A!D19-A!E19</f>
        <v>236825</v>
      </c>
      <c r="G19" s="1"/>
      <c r="H19" s="4">
        <f>SUM(A!J19:J25)/7*1000000/A!H$3-SUM(A!F19:F25)/7*(1-A!N$3)</f>
        <v>154886.046984127</v>
      </c>
      <c r="I19" s="7">
        <f>SUM(A!F16:F22)/7</f>
        <v>234216.28571428571</v>
      </c>
      <c r="J19" s="1">
        <v>4352</v>
      </c>
      <c r="K19" s="1">
        <v>119</v>
      </c>
      <c r="L19" s="1"/>
      <c r="M19" s="4">
        <f>A!D19-A!D20</f>
        <v>794</v>
      </c>
      <c r="N19" s="11">
        <f>SUM(A!P19:P25)/7*A!N$3</f>
        <v>235.69142857142859</v>
      </c>
      <c r="P19" s="4">
        <f t="shared" si="1"/>
        <v>12321</v>
      </c>
      <c r="Q19" s="1">
        <f>SUM(A!P16:P22)/7</f>
        <v>11429.714285714286</v>
      </c>
      <c r="S19" s="2">
        <f>A!B109</f>
        <v>44136</v>
      </c>
      <c r="T19" s="1">
        <f>+A!U19-A!U20</f>
        <v>103749</v>
      </c>
      <c r="U19" s="1">
        <f>A!C109</f>
        <v>532930</v>
      </c>
      <c r="V19" s="1">
        <v>1593278</v>
      </c>
      <c r="W19" s="1">
        <f>SUM(AC107:AC113)/7</f>
        <v>23019.433267119242</v>
      </c>
      <c r="X19" s="1">
        <f>SUM(AD107:AD113)/7</f>
        <v>478979.13197976263</v>
      </c>
      <c r="Z19" s="10">
        <f t="shared" si="3"/>
        <v>44224</v>
      </c>
      <c r="AA19" s="1">
        <f t="shared" si="4"/>
        <v>2274068</v>
      </c>
      <c r="AB19" s="1">
        <f t="shared" si="5"/>
        <v>234216.28571428571</v>
      </c>
      <c r="AC19" s="1">
        <f t="shared" si="6"/>
        <v>167054.22202016893</v>
      </c>
      <c r="AD19" s="1">
        <f t="shared" si="7"/>
        <v>4103912.8612508206</v>
      </c>
      <c r="AF19" s="10">
        <f t="shared" ref="AF18:AF106" si="15">B21</f>
        <v>44224</v>
      </c>
      <c r="AG19" s="6">
        <f t="shared" ref="AG19:AG107" si="16">H21/(H21+I21)</f>
        <v>0.38215260961662606</v>
      </c>
      <c r="AH19" s="6">
        <f t="shared" ref="AH18:AH106" si="17">O21/(O21+Q21)</f>
        <v>0.9382519578693328</v>
      </c>
      <c r="AI19" s="6">
        <f>V$6/V$57*AI$4</f>
        <v>1.3342057907728153</v>
      </c>
      <c r="AJ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5.6">
      <c r="A20" s="2">
        <f t="shared" si="0"/>
        <v>44200</v>
      </c>
      <c r="B20" s="2">
        <f t="shared" si="0"/>
        <v>44225</v>
      </c>
      <c r="C20" s="1">
        <f>+C21+14022</f>
        <v>2192850</v>
      </c>
      <c r="D20" s="1">
        <f>+D21+839</f>
        <v>55752</v>
      </c>
      <c r="E20" s="1">
        <f>+E21+100*152</f>
        <v>1898900</v>
      </c>
      <c r="F20" s="1">
        <f>+A!C20-A!D20-A!E20</f>
        <v>238198</v>
      </c>
      <c r="G20" s="1"/>
      <c r="H20" s="4">
        <f>SUM(A!J20:J26)/7*1000000/A!H$3-SUM(A!F20:F26)/7*(1-A!N$3)</f>
        <v>152394.67809523805</v>
      </c>
      <c r="I20" s="7">
        <f>SUM(A!F17:F23)/7</f>
        <v>239228.14285714287</v>
      </c>
      <c r="J20" s="1">
        <v>4375</v>
      </c>
      <c r="K20" s="1">
        <v>168</v>
      </c>
      <c r="L20" s="1"/>
      <c r="M20" s="4">
        <f>A!D20-A!D21</f>
        <v>839</v>
      </c>
      <c r="N20" s="11">
        <f>SUM(A!P20:P26)/7*A!N$3</f>
        <v>247.39428571428573</v>
      </c>
      <c r="O20" s="4">
        <f>(SUM(A!M5:M11)/A!O$3*1000-SUM(A!P17:P23))/7+A!N19</f>
        <v>169677.39828089828</v>
      </c>
      <c r="P20" s="4">
        <f t="shared" si="1"/>
        <v>14022</v>
      </c>
      <c r="Q20" s="1">
        <f>SUM(A!P17:P23)/7</f>
        <v>11472.285714285714</v>
      </c>
      <c r="S20" s="2">
        <f>A!B116</f>
        <v>44129</v>
      </c>
      <c r="T20" s="1">
        <f>+A!U20-A!U21</f>
        <v>67207</v>
      </c>
      <c r="U20" s="1">
        <f>A!C116</f>
        <v>429181</v>
      </c>
      <c r="V20" s="1">
        <f>1418726-293403+300000</f>
        <v>1425323</v>
      </c>
      <c r="W20" s="1">
        <f>SUM(AC114:AC120)/7</f>
        <v>17441.492710450435</v>
      </c>
      <c r="X20" s="1">
        <f>SUM(AD114:AD120)/7</f>
        <v>303032.72638356418</v>
      </c>
      <c r="Z20" s="10">
        <f t="shared" ref="Z18:Z106" si="18">AF20</f>
        <v>44223</v>
      </c>
      <c r="AA20" s="1">
        <f>AI20*AI$3*2</f>
        <v>2274068</v>
      </c>
      <c r="AB20" s="1">
        <f t="shared" ref="AB19:AB107" si="19">I20</f>
        <v>239228.14285714287</v>
      </c>
      <c r="AC20" s="1">
        <f t="shared" ref="AC19:AC107" si="20">SUM(F17:F24)/7/(1-AG20)*AG20</f>
        <v>166020.32979871094</v>
      </c>
      <c r="AD20" s="1">
        <f t="shared" ref="AD19:AD107" si="21">SUM(F17:F24)/7/(1-AH20)*AH20</f>
        <v>4523123.4712106055</v>
      </c>
      <c r="AF20" s="10">
        <f t="shared" si="15"/>
        <v>44223</v>
      </c>
      <c r="AG20" s="6">
        <f t="shared" si="16"/>
        <v>0.37454422642714924</v>
      </c>
      <c r="AH20" s="6">
        <f t="shared" si="17"/>
        <v>0.94224618018412321</v>
      </c>
      <c r="AI20" s="6">
        <f>V$6/V$57*AI$4</f>
        <v>1.3342057907728153</v>
      </c>
      <c r="AJ20" s="1"/>
    </row>
    <row r="21" spans="1:60" ht="15.6">
      <c r="A21" s="2">
        <f t="shared" si="0"/>
        <v>44199</v>
      </c>
      <c r="B21" s="2">
        <f t="shared" si="0"/>
        <v>44224</v>
      </c>
      <c r="C21" s="1">
        <f>+C22+17553</f>
        <v>2178828</v>
      </c>
      <c r="D21" s="1">
        <f>+D22+941</f>
        <v>54913</v>
      </c>
      <c r="E21" s="1">
        <f>+E22+100*177</f>
        <v>1883700</v>
      </c>
      <c r="F21" s="1">
        <f>+A!C21-A!D21-A!E21</f>
        <v>240215</v>
      </c>
      <c r="G21" s="1"/>
      <c r="H21" s="4">
        <f>SUM(A!J21:J27)/7*1000000/A!H$3-SUM(A!F21:F27)/7*(1-A!N$3)</f>
        <v>151222.07428571422</v>
      </c>
      <c r="I21" s="7">
        <f>SUM(A!F18:F24)/7</f>
        <v>244489.14285714287</v>
      </c>
      <c r="J21" s="1">
        <v>4437</v>
      </c>
      <c r="K21" s="1">
        <v>156</v>
      </c>
      <c r="L21" s="1"/>
      <c r="M21" s="4">
        <f>A!D21-A!D22</f>
        <v>941</v>
      </c>
      <c r="N21" s="11">
        <f>SUM(A!P21:P27)/7*A!N$3</f>
        <v>258.36571428571426</v>
      </c>
      <c r="O21" s="4">
        <f>(SUM(A!M6:M12)/A!O$3*1000-SUM(A!P18:P24))/7+A!N20</f>
        <v>176752.95451185678</v>
      </c>
      <c r="P21" s="4">
        <f t="shared" si="1"/>
        <v>17553</v>
      </c>
      <c r="Q21" s="1">
        <f>SUM(A!P18:P24)/7</f>
        <v>11632.428571428571</v>
      </c>
      <c r="S21" s="2">
        <f>A!B123</f>
        <v>44122</v>
      </c>
      <c r="T21" s="1">
        <f>+A!U21-A!U22</f>
        <v>39110</v>
      </c>
      <c r="U21" s="1">
        <f>A!C123</f>
        <v>361974</v>
      </c>
      <c r="V21" s="1">
        <v>1263716</v>
      </c>
      <c r="W21" s="1">
        <f>SUM(AC121:AC127)/7</f>
        <v>15807.607546581572</v>
      </c>
      <c r="X21" s="1">
        <f>SUM(AD121:AD127)/7</f>
        <v>163696.3485254556</v>
      </c>
      <c r="Z21" s="10">
        <f t="shared" si="18"/>
        <v>44222</v>
      </c>
      <c r="AA21" s="1">
        <f>AI21*AI$3*2</f>
        <v>2274068</v>
      </c>
      <c r="AB21" s="1">
        <f t="shared" si="19"/>
        <v>244489.14285714287</v>
      </c>
      <c r="AC21" s="1">
        <f t="shared" si="20"/>
        <v>163692.35126829272</v>
      </c>
      <c r="AD21" s="1">
        <f t="shared" si="21"/>
        <v>4542909.2117774142</v>
      </c>
      <c r="AF21" s="10">
        <f t="shared" si="15"/>
        <v>44222</v>
      </c>
      <c r="AG21" s="6">
        <f t="shared" si="16"/>
        <v>0.36575367846951284</v>
      </c>
      <c r="AH21" s="6">
        <f t="shared" si="17"/>
        <v>0.94119131164789571</v>
      </c>
      <c r="AI21" s="6">
        <f>V$6/V$57*AI$4</f>
        <v>1.3342057907728153</v>
      </c>
      <c r="AJ21" s="1"/>
      <c r="BF21">
        <f>BF22/BC14</f>
        <v>0.91996520226185297</v>
      </c>
    </row>
    <row r="22" spans="1:60" ht="15.6">
      <c r="A22" s="2">
        <f t="shared" si="0"/>
        <v>44198</v>
      </c>
      <c r="B22" s="2">
        <f t="shared" si="0"/>
        <v>44223</v>
      </c>
      <c r="C22" s="1">
        <f>+C23+13198</f>
        <v>2161275</v>
      </c>
      <c r="D22" s="1">
        <f>+D23+982</f>
        <v>53972</v>
      </c>
      <c r="E22" s="1">
        <f>+E23+100*220</f>
        <v>1866000</v>
      </c>
      <c r="F22" s="1">
        <f>+A!C22-A!D22-A!E22</f>
        <v>241303</v>
      </c>
      <c r="G22" s="1"/>
      <c r="H22" s="4">
        <f>SUM(A!J22:J28)/7*1000000/A!H$3-SUM(A!F22:F28)/7*(1-A!N$3)</f>
        <v>149646.23873015866</v>
      </c>
      <c r="I22" s="7">
        <f>SUM(A!F19:F25)/7</f>
        <v>249896</v>
      </c>
      <c r="J22" s="1">
        <v>4501</v>
      </c>
      <c r="K22" s="1">
        <v>170</v>
      </c>
      <c r="L22" s="1"/>
      <c r="M22" s="4">
        <f>A!D22-A!D23</f>
        <v>982</v>
      </c>
      <c r="N22" s="11">
        <f>SUM(A!P22:P28)/7*A!N$3</f>
        <v>266.49428571428575</v>
      </c>
      <c r="O22" s="4">
        <f>(SUM(A!M7:M13)/A!O$3*1000-SUM(A!P19:P25))/7+A!N21</f>
        <v>192263.77491702876</v>
      </c>
      <c r="P22" s="4">
        <f t="shared" si="1"/>
        <v>13198</v>
      </c>
      <c r="Q22" s="1">
        <f>SUM(A!P19:P25)/7</f>
        <v>11784.571428571429</v>
      </c>
      <c r="S22" s="2">
        <f>A!B130</f>
        <v>44115</v>
      </c>
      <c r="T22" s="1">
        <f>+A!U22-A!U23</f>
        <v>23627</v>
      </c>
      <c r="U22" s="1">
        <f>A!C130</f>
        <v>322864</v>
      </c>
      <c r="V22" s="1">
        <v>1188338</v>
      </c>
      <c r="W22" s="1">
        <f>SUM(AC128:AC134)/7</f>
        <v>13673.544112801488</v>
      </c>
      <c r="X22" s="1">
        <f>SUM(AD128:AD134)/7</f>
        <v>101170.44151251877</v>
      </c>
      <c r="Z22" s="10">
        <f t="shared" si="18"/>
        <v>44221</v>
      </c>
      <c r="AA22" s="1">
        <f>AI22*AI$3*2</f>
        <v>2274068</v>
      </c>
      <c r="AB22" s="1">
        <f t="shared" si="19"/>
        <v>249896</v>
      </c>
      <c r="AC22" s="1">
        <f t="shared" si="20"/>
        <v>161845.86283126104</v>
      </c>
      <c r="AD22" s="1">
        <f t="shared" si="21"/>
        <v>4626556.5075632706</v>
      </c>
      <c r="AF22" s="10">
        <f t="shared" si="15"/>
        <v>44221</v>
      </c>
      <c r="AG22" s="6">
        <f t="shared" si="16"/>
        <v>0.35798120722472088</v>
      </c>
      <c r="AH22" s="6">
        <f t="shared" si="17"/>
        <v>0.94096562087146263</v>
      </c>
      <c r="AI22" s="6">
        <f>V$6/V$57*AI$4</f>
        <v>1.3342057907728153</v>
      </c>
      <c r="AJ22" s="1" t="s">
        <v>41</v>
      </c>
      <c r="BC22" s="1">
        <f>BC9</f>
        <v>215891</v>
      </c>
      <c r="BD22" s="1">
        <v>160608</v>
      </c>
      <c r="BE22" s="1">
        <v>25346</v>
      </c>
      <c r="BF22" s="1">
        <v>8460</v>
      </c>
      <c r="BG22">
        <f>+BD22/BC22</f>
        <v>0.74393096516297574</v>
      </c>
    </row>
    <row r="23" spans="1:60" ht="15.6">
      <c r="A23" s="2">
        <f t="shared" si="0"/>
        <v>44197</v>
      </c>
      <c r="B23" s="2">
        <f t="shared" si="0"/>
        <v>44222</v>
      </c>
      <c r="C23" s="1">
        <f>+C24+6412</f>
        <v>2148077</v>
      </c>
      <c r="D23" s="1">
        <f>+D24+903</f>
        <v>52990</v>
      </c>
      <c r="E23" s="1">
        <f>+E24+100*205</f>
        <v>1844000</v>
      </c>
      <c r="F23" s="1">
        <f>+A!C23-A!D23-A!E23</f>
        <v>251087</v>
      </c>
      <c r="G23" s="1"/>
      <c r="H23" s="4">
        <f>SUM(A!J23:J29)/7*1000000/A!H$3-SUM(A!F23:F29)/7*(1-A!N$3)</f>
        <v>147876.146984127</v>
      </c>
      <c r="I23" s="7">
        <f>SUM(A!F20:F26)/7</f>
        <v>256429.14285714287</v>
      </c>
      <c r="J23" s="1">
        <v>4571</v>
      </c>
      <c r="K23" s="1">
        <v>166</v>
      </c>
      <c r="L23" s="1"/>
      <c r="M23" s="4">
        <f>A!D23-A!D24</f>
        <v>903</v>
      </c>
      <c r="N23" s="11">
        <f>SUM(A!P23:P29)/7*A!N$3</f>
        <v>274.42571428571426</v>
      </c>
      <c r="O23" s="4">
        <f>(SUM(A!M8:M14)/A!O$3*1000-SUM(A!P20:P26))/7+A!N22</f>
        <v>197968.49648432186</v>
      </c>
      <c r="P23" s="4">
        <f t="shared" si="1"/>
        <v>6412</v>
      </c>
      <c r="Q23" s="1">
        <f>SUM(A!P20:P26)/7</f>
        <v>12369.714285714286</v>
      </c>
      <c r="S23" s="2">
        <f>A!B137</f>
        <v>44108</v>
      </c>
      <c r="T23" s="1">
        <f>+A!U23-A!U24</f>
        <v>15097</v>
      </c>
      <c r="U23" s="1">
        <f>A!C137</f>
        <v>299237</v>
      </c>
      <c r="V23" s="1">
        <v>1112967</v>
      </c>
      <c r="W23" s="1">
        <f>SUM(AC135:AC141)/7</f>
        <v>8187.0999287423774</v>
      </c>
      <c r="X23" s="1">
        <f>SUM(AD135:AD141)/7</f>
        <v>71754.847428748748</v>
      </c>
      <c r="Z23" s="10">
        <f t="shared" si="18"/>
        <v>44220</v>
      </c>
      <c r="AA23" s="1">
        <f>AI23*AI$3*2</f>
        <v>2213056</v>
      </c>
      <c r="AB23" s="1">
        <f t="shared" si="19"/>
        <v>256429.14285714287</v>
      </c>
      <c r="AC23" s="1">
        <f t="shared" si="20"/>
        <v>160395.9069239737</v>
      </c>
      <c r="AD23" s="1">
        <f t="shared" si="21"/>
        <v>5019921.2028078493</v>
      </c>
      <c r="AF23" s="10">
        <f t="shared" si="15"/>
        <v>44220</v>
      </c>
      <c r="AG23" s="6">
        <f t="shared" si="16"/>
        <v>0.35086655641715481</v>
      </c>
      <c r="AH23" s="6">
        <f t="shared" si="17"/>
        <v>0.94418566021762407</v>
      </c>
      <c r="AI23" s="6">
        <f>V$7/V$57*AI$4</f>
        <v>1.2984097795248533</v>
      </c>
      <c r="AJ23" s="1"/>
    </row>
    <row r="24" spans="1:60" ht="15.6">
      <c r="A24" s="2">
        <f t="shared" si="0"/>
        <v>44196</v>
      </c>
      <c r="B24" s="2">
        <f t="shared" si="0"/>
        <v>44221</v>
      </c>
      <c r="C24" s="1">
        <f>+C25+6729</f>
        <v>2141665</v>
      </c>
      <c r="D24" s="1">
        <f>+D25+217</f>
        <v>52087</v>
      </c>
      <c r="E24" s="1">
        <f>+E25+100*160</f>
        <v>1823500</v>
      </c>
      <c r="F24" s="1">
        <f>+A!C24-A!D24-A!E24</f>
        <v>266078</v>
      </c>
      <c r="G24" s="1"/>
      <c r="H24" s="4">
        <f>SUM(A!J24:J30)/7*1000000/A!H$3-SUM(A!F24:F30)/7*(1-A!N$3)</f>
        <v>146488.09015873022</v>
      </c>
      <c r="I24" s="7">
        <f>SUM(A!F21:F27)/7</f>
        <v>262718</v>
      </c>
      <c r="J24" s="1">
        <v>4619</v>
      </c>
      <c r="K24" s="1">
        <v>171</v>
      </c>
      <c r="L24" s="1"/>
      <c r="M24" s="4">
        <f>A!D24-A!D25</f>
        <v>217</v>
      </c>
      <c r="N24" s="11">
        <f>SUM(A!P24:P30)/7*A!N$3</f>
        <v>288.58857142857141</v>
      </c>
      <c r="O24" s="4">
        <f>(SUM(A!M9:M15)/A!O$3*1000-SUM(A!P21:P27))/7+A!N23</f>
        <v>205908.1998858818</v>
      </c>
      <c r="P24" s="4">
        <f t="shared" si="1"/>
        <v>6729</v>
      </c>
      <c r="Q24" s="1">
        <f>SUM(A!P21:P27)/7</f>
        <v>12918.285714285714</v>
      </c>
      <c r="S24" s="2">
        <f>A!B144</f>
        <v>44101</v>
      </c>
      <c r="T24" s="1">
        <f>+A!U24-A!U25</f>
        <v>12725</v>
      </c>
      <c r="U24" s="1">
        <f>A!C144</f>
        <v>284140</v>
      </c>
      <c r="V24" s="1">
        <v>1155995</v>
      </c>
      <c r="W24" s="1">
        <f>SUM(AC142:AC148)/7</f>
        <v>3919.0464027872144</v>
      </c>
      <c r="X24" s="1">
        <f>SUM(AD142:AD148)/7</f>
        <v>33726.604729578437</v>
      </c>
      <c r="Z24" s="10">
        <f t="shared" si="18"/>
        <v>44219</v>
      </c>
      <c r="AA24" s="1">
        <f>AI24*AI$3*2</f>
        <v>2213056</v>
      </c>
      <c r="AB24" s="1">
        <f t="shared" si="19"/>
        <v>262718</v>
      </c>
      <c r="AC24" s="1">
        <f t="shared" si="20"/>
        <v>158909.39750291276</v>
      </c>
      <c r="AD24" s="1">
        <f t="shared" si="21"/>
        <v>4991413.190005092</v>
      </c>
      <c r="AF24" s="10">
        <f t="shared" si="15"/>
        <v>44219</v>
      </c>
      <c r="AG24" s="6">
        <f t="shared" si="16"/>
        <v>0.34389499853321986</v>
      </c>
      <c r="AH24" s="6">
        <f t="shared" si="17"/>
        <v>0.94273824265381423</v>
      </c>
      <c r="AI24" s="6">
        <f>V$7/V$57*AI$4</f>
        <v>1.2984097795248533</v>
      </c>
      <c r="AJ24" s="1"/>
      <c r="BC24" t="s">
        <v>38</v>
      </c>
    </row>
    <row r="25" spans="1:60" ht="15.6">
      <c r="A25" s="2">
        <f t="shared" si="0"/>
        <v>44195</v>
      </c>
      <c r="B25" s="2">
        <f t="shared" si="0"/>
        <v>44220</v>
      </c>
      <c r="C25" s="1">
        <f>+C26+12257</f>
        <v>2134936</v>
      </c>
      <c r="D25" s="1">
        <f>+D26+348</f>
        <v>51870</v>
      </c>
      <c r="E25" s="1">
        <f>+E26+100*120+6900</f>
        <v>1807500</v>
      </c>
      <c r="F25" s="1">
        <f>+A!C25-A!D25-A!E25</f>
        <v>275566</v>
      </c>
      <c r="G25" s="1"/>
      <c r="H25" s="4">
        <f>SUM(A!J25:J31)/7*1000000/A!H$3-SUM(A!F25:F31)/7*(1-A!N$3)</f>
        <v>145323.56063492061</v>
      </c>
      <c r="I25" s="7">
        <f>SUM(A!F22:F28)/7</f>
        <v>268861.14285714284</v>
      </c>
      <c r="J25" s="1">
        <v>4628</v>
      </c>
      <c r="K25" s="1">
        <v>136</v>
      </c>
      <c r="L25" s="1"/>
      <c r="M25" s="4">
        <f>A!D25-A!D26</f>
        <v>348</v>
      </c>
      <c r="N25" s="11">
        <f>SUM(A!P25:P31)/7*A!N$3</f>
        <v>289.7657142857143</v>
      </c>
      <c r="O25" s="4">
        <f>(SUM(A!M10:M16)/A!O$3*1000-SUM(A!P22:P28))/7+A!N24</f>
        <v>225408.09770611947</v>
      </c>
      <c r="P25" s="4">
        <f t="shared" si="1"/>
        <v>12257</v>
      </c>
      <c r="Q25" s="1">
        <f>SUM(A!P22:P28)/7</f>
        <v>13324.714285714286</v>
      </c>
      <c r="S25" s="2">
        <f>A!B151</f>
        <v>44094</v>
      </c>
      <c r="T25" s="1">
        <f>+A!U25-A!U26</f>
        <v>11987</v>
      </c>
      <c r="U25" s="1">
        <f>A!C151</f>
        <v>271415</v>
      </c>
      <c r="V25" s="1">
        <v>1146565</v>
      </c>
      <c r="W25" s="1">
        <f>SUM(AC149:AC155)/7</f>
        <v>3441.0412142190071</v>
      </c>
      <c r="X25" s="1">
        <f>SUM(AD149:AD155)/7</f>
        <v>30042.898381936171</v>
      </c>
      <c r="Z25" s="10">
        <f t="shared" si="18"/>
        <v>44218</v>
      </c>
      <c r="AA25" s="1">
        <f>AI25*AI$3*2</f>
        <v>2213056</v>
      </c>
      <c r="AB25" s="1">
        <f t="shared" si="19"/>
        <v>268861.14285714284</v>
      </c>
      <c r="AC25" s="1">
        <f t="shared" si="20"/>
        <v>158431.47906842263</v>
      </c>
      <c r="AD25" s="1">
        <f t="shared" si="21"/>
        <v>5018654.8575607622</v>
      </c>
      <c r="AF25" s="10">
        <f t="shared" si="15"/>
        <v>44218</v>
      </c>
      <c r="AG25" s="6">
        <f t="shared" si="16"/>
        <v>0.33859284534726114</v>
      </c>
      <c r="AH25" s="6">
        <f t="shared" si="17"/>
        <v>0.94191588458748565</v>
      </c>
      <c r="AI25" s="6">
        <f>V$7/V$57*AI$4</f>
        <v>1.2984097795248533</v>
      </c>
      <c r="AJ25" s="1"/>
      <c r="BC25" s="1">
        <v>790503</v>
      </c>
      <c r="BD25" s="1">
        <v>331257</v>
      </c>
      <c r="BE25" s="1">
        <v>35074</v>
      </c>
      <c r="BF25" s="1">
        <v>10123</v>
      </c>
      <c r="BG25">
        <f>BD25/BC25</f>
        <v>0.41904584802334716</v>
      </c>
    </row>
    <row r="26" spans="1:60" ht="15.6">
      <c r="A26" s="2">
        <f t="shared" si="0"/>
        <v>44194</v>
      </c>
      <c r="B26" s="2">
        <f t="shared" si="0"/>
        <v>44219</v>
      </c>
      <c r="C26" s="1">
        <f>+C27+16417</f>
        <v>2122679</v>
      </c>
      <c r="D26" s="1">
        <f>+D27+880</f>
        <v>51522</v>
      </c>
      <c r="E26" s="1">
        <f>+E27+100*152</f>
        <v>1788600</v>
      </c>
      <c r="F26" s="1">
        <f>+A!C26-A!D26-A!E26</f>
        <v>282557</v>
      </c>
      <c r="G26" s="1"/>
      <c r="H26" s="4">
        <f>SUM(A!J26:J32)/7*1000000/A!H$3-SUM(A!F26:F32)/7*(1-A!N$3)</f>
        <v>144144.49619047617</v>
      </c>
      <c r="I26" s="7">
        <f>SUM(A!F23:F29)/7</f>
        <v>275008.14285714284</v>
      </c>
      <c r="J26" s="1">
        <v>4660</v>
      </c>
      <c r="K26" s="1">
        <v>189</v>
      </c>
      <c r="L26" s="1"/>
      <c r="M26" s="4">
        <f>A!D26-A!D27</f>
        <v>880</v>
      </c>
      <c r="N26" s="11">
        <f>SUM(A!P26:P32)/7*A!N$3</f>
        <v>294.40571428571428</v>
      </c>
      <c r="O26" s="4">
        <f>(SUM(A!M11:M17)/A!O$3*1000-SUM(A!P23:P29))/7+A!N25</f>
        <v>225902.6159995812</v>
      </c>
      <c r="P26" s="4">
        <f t="shared" si="1"/>
        <v>16417</v>
      </c>
      <c r="Q26" s="1">
        <f>SUM(A!P23:P29)/7</f>
        <v>13721.285714285714</v>
      </c>
      <c r="S26" s="2">
        <f>A!B158</f>
        <v>44087</v>
      </c>
      <c r="T26" s="1">
        <f>+A!U26-A!U27</f>
        <v>9443</v>
      </c>
      <c r="U26" s="1">
        <f>A!C158</f>
        <v>259428</v>
      </c>
      <c r="V26" s="1">
        <f>1164932+42526*0</f>
        <v>1164932</v>
      </c>
      <c r="W26" s="1">
        <f>SUM(AC156:AC162)/7</f>
        <v>4371.5515395618331</v>
      </c>
      <c r="X26" s="1">
        <f>SUM(AD156:AD162)/7</f>
        <v>25258.698270033219</v>
      </c>
      <c r="Z26" s="10">
        <f t="shared" si="18"/>
        <v>44217</v>
      </c>
      <c r="AA26" s="1">
        <f>AI26*AI$3*2</f>
        <v>2213056</v>
      </c>
      <c r="AB26" s="1">
        <f t="shared" si="19"/>
        <v>275008.14285714284</v>
      </c>
      <c r="AC26" s="1">
        <f t="shared" si="20"/>
        <v>158144.73874921497</v>
      </c>
      <c r="AD26" s="1">
        <f t="shared" si="21"/>
        <v>5241580.8316481244</v>
      </c>
      <c r="AF26" s="10">
        <f t="shared" si="15"/>
        <v>44217</v>
      </c>
      <c r="AG26" s="6">
        <f t="shared" si="16"/>
        <v>0.3327185319527084</v>
      </c>
      <c r="AH26" s="6">
        <f t="shared" si="17"/>
        <v>0.94294287106216579</v>
      </c>
      <c r="AI26" s="6">
        <f>V$7/V$57*AI$4</f>
        <v>1.2984097795248533</v>
      </c>
      <c r="AJ26" s="1"/>
      <c r="BC26" s="1">
        <f>+BC25-BC22</f>
        <v>574612</v>
      </c>
      <c r="BD26" s="1">
        <f t="shared" ref="BD26:BF26" si="22">+BD25-BD22</f>
        <v>170649</v>
      </c>
      <c r="BE26" s="1">
        <f t="shared" si="22"/>
        <v>9728</v>
      </c>
      <c r="BF26" s="1">
        <f t="shared" si="22"/>
        <v>1663</v>
      </c>
      <c r="BG26">
        <f>BD26/BC26</f>
        <v>0.29698126735954</v>
      </c>
    </row>
    <row r="27" spans="1:60" ht="15.6">
      <c r="A27" s="2">
        <f t="shared" si="0"/>
        <v>44193</v>
      </c>
      <c r="B27" s="2">
        <f t="shared" si="0"/>
        <v>44218</v>
      </c>
      <c r="C27" s="1">
        <f>+C28+17862</f>
        <v>2106262</v>
      </c>
      <c r="D27" s="1">
        <f>+D28+859</f>
        <v>50642</v>
      </c>
      <c r="E27" s="1">
        <f>+E28+100*180</f>
        <v>1773400</v>
      </c>
      <c r="F27" s="1">
        <f>+A!C27-A!D27-A!E27</f>
        <v>282220</v>
      </c>
      <c r="G27" s="1"/>
      <c r="H27" s="4">
        <f>SUM(A!J27:J33)/7*1000000/A!H$3-SUM(A!F27:F33)/7*(1-A!N$3)</f>
        <v>144003.59269841271</v>
      </c>
      <c r="I27" s="7">
        <f>SUM(A!F24:F30)/7</f>
        <v>281296.57142857142</v>
      </c>
      <c r="J27" s="1">
        <v>4768</v>
      </c>
      <c r="K27" s="1">
        <v>209</v>
      </c>
      <c r="L27" s="1"/>
      <c r="M27" s="4">
        <f>A!D27-A!D28</f>
        <v>859</v>
      </c>
      <c r="N27" s="11">
        <f>SUM(A!P27:P33)/7*A!N$3</f>
        <v>300.86571428571426</v>
      </c>
      <c r="O27" s="4">
        <f>(SUM(A!M12:M18)/A!O$3*1000-SUM(A!P24:P30))/7+A!N26</f>
        <v>233993.54333664867</v>
      </c>
      <c r="P27" s="4">
        <f t="shared" ref="P27:P60" si="23">C27-C28</f>
        <v>17862</v>
      </c>
      <c r="Q27" s="1">
        <f>SUM(A!P24:P30)/7</f>
        <v>14429.428571428571</v>
      </c>
      <c r="S27" s="2">
        <f>A!B165</f>
        <v>44080</v>
      </c>
      <c r="T27" s="1">
        <f>+A!U27-A!U28</f>
        <v>8214</v>
      </c>
      <c r="U27" s="1">
        <f>A!C165</f>
        <v>249985</v>
      </c>
      <c r="V27" s="1">
        <v>1072316</v>
      </c>
      <c r="W27" s="1">
        <f>SUM(AC163:AC169)/7</f>
        <v>4944.6751814431836</v>
      </c>
      <c r="X27" s="1">
        <f>SUM(AD163:AD169)/7</f>
        <v>9878.9315613624622</v>
      </c>
      <c r="Z27" s="10">
        <f t="shared" si="18"/>
        <v>44216</v>
      </c>
      <c r="AA27" s="1">
        <f>AI27*AI$3*2</f>
        <v>2213056</v>
      </c>
      <c r="AB27" s="1">
        <f t="shared" si="19"/>
        <v>281296.57142857142</v>
      </c>
      <c r="AC27" s="1">
        <f t="shared" si="20"/>
        <v>159060.51528045759</v>
      </c>
      <c r="AD27" s="1">
        <f t="shared" si="21"/>
        <v>5270703.7677386161</v>
      </c>
      <c r="AF27" s="10">
        <f t="shared" ref="AF27:AF58" si="24">B29</f>
        <v>44216</v>
      </c>
      <c r="AG27" s="6">
        <f t="shared" ref="AG27:AG58" si="25">H29/(H29+I29)</f>
        <v>0.32827643977960591</v>
      </c>
      <c r="AH27" s="6">
        <f t="shared" ref="AH27:AH58" si="26">O29/(O29+Q29)</f>
        <v>0.94184033089541719</v>
      </c>
      <c r="AI27" s="6">
        <f>V$7/V$57*AI$4</f>
        <v>1.2984097795248533</v>
      </c>
      <c r="AJ27" s="1"/>
    </row>
    <row r="28" spans="1:60" ht="15.6">
      <c r="A28" s="2">
        <f t="shared" si="0"/>
        <v>44192</v>
      </c>
      <c r="B28" s="2">
        <f t="shared" si="0"/>
        <v>44217</v>
      </c>
      <c r="C28" s="1">
        <f>+C29+20398</f>
        <v>2088400</v>
      </c>
      <c r="D28" s="1">
        <f>+D29+1013</f>
        <v>49783</v>
      </c>
      <c r="E28" s="1">
        <f>+E29+100*205</f>
        <v>1755400</v>
      </c>
      <c r="F28" s="1">
        <f>+A!C28-A!D28-A!E28</f>
        <v>283217</v>
      </c>
      <c r="G28" s="1"/>
      <c r="H28" s="4">
        <f>SUM(A!J28:J34)/7*1000000/A!H$3-SUM(A!F28:F34)/7*(1-A!N$3)</f>
        <v>143333.00698412699</v>
      </c>
      <c r="I28" s="7">
        <f>SUM(A!F25:F31)/7</f>
        <v>287460.57142857142</v>
      </c>
      <c r="J28" s="1">
        <v>4787</v>
      </c>
      <c r="K28" s="1">
        <v>218</v>
      </c>
      <c r="L28" s="1"/>
      <c r="M28" s="4">
        <f>A!D28-A!D29</f>
        <v>1013</v>
      </c>
      <c r="N28" s="11">
        <f>SUM(A!P28:P34)/7*A!N$3</f>
        <v>313.74285714285713</v>
      </c>
      <c r="O28" s="4">
        <f>(SUM(A!M13:M19)/A!O$3*1000-SUM(A!P25:P31))/7+A!N27</f>
        <v>239437.665065173</v>
      </c>
      <c r="P28" s="4">
        <f t="shared" si="23"/>
        <v>20398</v>
      </c>
      <c r="Q28" s="1">
        <f>SUM(A!P25:P31)/7</f>
        <v>14488.285714285714</v>
      </c>
      <c r="S28" s="2">
        <f>A!B172</f>
        <v>44073</v>
      </c>
      <c r="T28" s="1">
        <f>+A!U28-A!U29</f>
        <v>8907</v>
      </c>
      <c r="U28" s="1">
        <f>A!C172</f>
        <v>241771</v>
      </c>
      <c r="V28" s="1">
        <f>1120883+51687*0</f>
        <v>1120883</v>
      </c>
      <c r="W28" s="1">
        <f>SUM(AC170:AC176)/7</f>
        <v>5866.7301402713829</v>
      </c>
      <c r="X28" s="1">
        <f>SUM(AD170:AD176)/7</f>
        <v>-360.562215932605</v>
      </c>
      <c r="Z28" s="10">
        <f t="shared" si="18"/>
        <v>44215</v>
      </c>
      <c r="AA28" s="1">
        <f>AI28*AI$3*2</f>
        <v>2213056</v>
      </c>
      <c r="AB28" s="1">
        <f t="shared" si="19"/>
        <v>287460.57142857142</v>
      </c>
      <c r="AC28" s="1">
        <f t="shared" si="20"/>
        <v>160176.19496745034</v>
      </c>
      <c r="AD28" s="1">
        <f t="shared" si="21"/>
        <v>5440995.8337777331</v>
      </c>
      <c r="AF28" s="10">
        <f t="shared" si="24"/>
        <v>44215</v>
      </c>
      <c r="AG28" s="6">
        <f t="shared" si="25"/>
        <v>0.32513122772932634</v>
      </c>
      <c r="AH28" s="6">
        <f t="shared" si="26"/>
        <v>0.9424133696503858</v>
      </c>
      <c r="AI28" s="6">
        <f>V$7/V$57*AI$4</f>
        <v>1.2984097795248533</v>
      </c>
      <c r="AJ28" s="1"/>
    </row>
    <row r="29" spans="1:60" ht="15.6">
      <c r="A29" s="2">
        <f>+B55+1</f>
        <v>44191</v>
      </c>
      <c r="B29" s="2">
        <f t="shared" si="0"/>
        <v>44216</v>
      </c>
      <c r="C29" s="1">
        <f>+C30+15974</f>
        <v>2068002</v>
      </c>
      <c r="D29" s="1">
        <f>+D30+1148</f>
        <v>48770</v>
      </c>
      <c r="E29" s="1">
        <f>+E30+100*256</f>
        <v>1734900</v>
      </c>
      <c r="F29" s="1">
        <f>+A!C29-A!D29-A!E29</f>
        <v>284332</v>
      </c>
      <c r="G29" s="1"/>
      <c r="H29" s="4">
        <f>SUM(A!J29:J35)/7*1000000/A!H$3-SUM(A!F29:F35)/7*(1-A!N$3)</f>
        <v>143244.19047619053</v>
      </c>
      <c r="I29" s="7">
        <f>SUM(A!F26:F32)/7</f>
        <v>293108.14285714284</v>
      </c>
      <c r="J29" s="1">
        <v>4836</v>
      </c>
      <c r="K29" s="1">
        <v>177</v>
      </c>
      <c r="L29" s="1"/>
      <c r="M29" s="4">
        <f>A!D29-A!D30</f>
        <v>1148</v>
      </c>
      <c r="N29" s="11">
        <f>SUM(A!P29:P35)/7*A!N$3</f>
        <v>327.36</v>
      </c>
      <c r="O29" s="4">
        <f>(SUM(A!M14:M20)/A!O$3*1000-SUM(A!P26:P32))/7+A!N28</f>
        <v>238380.97742762914</v>
      </c>
      <c r="P29" s="4">
        <f t="shared" si="23"/>
        <v>15974</v>
      </c>
      <c r="Q29" s="1">
        <f>SUM(A!P26:P32)/7</f>
        <v>14720.285714285714</v>
      </c>
      <c r="S29" s="2">
        <f>A!B179</f>
        <v>44066</v>
      </c>
      <c r="T29" s="1">
        <f>+A!U29-A!U30</f>
        <v>9411</v>
      </c>
      <c r="U29" s="1">
        <f>A!C179</f>
        <v>232864</v>
      </c>
      <c r="V29" s="1">
        <f>1092013-83909</f>
        <v>1008104</v>
      </c>
      <c r="W29" s="1">
        <f>SUM(AC177:AC183)/7</f>
        <v>8997.9396350907355</v>
      </c>
      <c r="X29" s="1">
        <f>SUM(AD177:AD183)/7</f>
        <v>4635.0794861453151</v>
      </c>
      <c r="Z29" s="10">
        <f t="shared" si="18"/>
        <v>44214</v>
      </c>
      <c r="AA29" s="1">
        <f>AI29*AI$3*2</f>
        <v>2213056</v>
      </c>
      <c r="AB29" s="1">
        <f t="shared" si="19"/>
        <v>293108.14285714284</v>
      </c>
      <c r="AC29" s="1">
        <f t="shared" si="20"/>
        <v>160207.6420623931</v>
      </c>
      <c r="AD29" s="1">
        <f t="shared" si="21"/>
        <v>5302038.3119198689</v>
      </c>
      <c r="AF29" s="10">
        <f t="shared" si="24"/>
        <v>44214</v>
      </c>
      <c r="AG29" s="6">
        <f t="shared" si="25"/>
        <v>0.32142792033958845</v>
      </c>
      <c r="AH29" s="6">
        <f t="shared" si="26"/>
        <v>0.94003513749174428</v>
      </c>
      <c r="AI29" s="6">
        <f>V$7/V$57*AI$4</f>
        <v>1.2984097795248533</v>
      </c>
      <c r="AJ29" s="1" t="s">
        <v>41</v>
      </c>
    </row>
    <row r="30" spans="1:60" ht="15.6">
      <c r="B30" s="2">
        <f t="shared" si="0"/>
        <v>44215</v>
      </c>
      <c r="C30" s="1">
        <f>+C31+11369</f>
        <v>2052028</v>
      </c>
      <c r="D30" s="1">
        <f>+D31+989</f>
        <v>47622</v>
      </c>
      <c r="E30" s="1">
        <f>+E31+100*245</f>
        <v>1709300</v>
      </c>
      <c r="F30" s="1">
        <f>+A!C30-A!D30-A!E30</f>
        <v>295106</v>
      </c>
      <c r="G30" s="1"/>
      <c r="H30" s="4">
        <f>SUM(A!J30:J36)/7*1000000/A!H$3-SUM(A!F30:F36)/7*(1-A!N$3)</f>
        <v>143495.95650793647</v>
      </c>
      <c r="I30" s="7">
        <f>SUM(A!F27:F33)/7</f>
        <v>297851.85714285716</v>
      </c>
      <c r="J30" s="1">
        <v>4947</v>
      </c>
      <c r="K30" s="1">
        <v>202</v>
      </c>
      <c r="L30" s="1"/>
      <c r="M30" s="4">
        <f>A!D30-A!D31</f>
        <v>989</v>
      </c>
      <c r="N30" s="11">
        <f>SUM(A!P30:P36)/7*A!N$3</f>
        <v>337.72</v>
      </c>
      <c r="O30" s="4">
        <f>(SUM(A!M15:M21)/A!O$3*1000-SUM(A!P27:P33))/7+A!N29</f>
        <v>246185.50338062082</v>
      </c>
      <c r="P30" s="4">
        <f t="shared" si="23"/>
        <v>11369</v>
      </c>
      <c r="Q30" s="1">
        <f>SUM(A!P27:P33)/7</f>
        <v>15043.285714285714</v>
      </c>
      <c r="S30" s="2">
        <f>A!B186</f>
        <v>44059</v>
      </c>
      <c r="T30" s="1">
        <f>+A!U30-A!U31</f>
        <v>7562</v>
      </c>
      <c r="U30" s="1">
        <f>A!C186</f>
        <v>223453</v>
      </c>
      <c r="V30" s="1">
        <v>877164</v>
      </c>
      <c r="W30" s="1">
        <f>SUM(AC184:AC190)/7</f>
        <v>12836.214268700089</v>
      </c>
      <c r="X30" s="1">
        <f>SUM(AD184:AD190)/7</f>
        <v>6439.4219168791888</v>
      </c>
      <c r="Z30" s="10">
        <f t="shared" si="18"/>
        <v>44213</v>
      </c>
      <c r="AA30" s="1">
        <f>AI30*AI$3*2</f>
        <v>2368800</v>
      </c>
      <c r="AB30" s="1">
        <f t="shared" si="19"/>
        <v>297851.85714285716</v>
      </c>
      <c r="AC30" s="1">
        <f t="shared" si="20"/>
        <v>160073.79965668896</v>
      </c>
      <c r="AD30" s="1">
        <f t="shared" si="21"/>
        <v>5182493.5544247972</v>
      </c>
      <c r="AF30" s="10">
        <f t="shared" si="24"/>
        <v>44213</v>
      </c>
      <c r="AG30" s="6">
        <f t="shared" si="25"/>
        <v>0.3183064603981694</v>
      </c>
      <c r="AH30" s="6">
        <f t="shared" si="26"/>
        <v>0.93795494342530061</v>
      </c>
      <c r="AI30" s="6">
        <f>V$8/V$57*AI$4</f>
        <v>1.3897854757125316</v>
      </c>
      <c r="AJ30" s="1"/>
    </row>
    <row r="31" spans="1:60" ht="15.6">
      <c r="B31" s="2">
        <f t="shared" si="0"/>
        <v>44214</v>
      </c>
      <c r="C31" s="1">
        <f>+C32+7141</f>
        <v>2040659</v>
      </c>
      <c r="D31" s="1">
        <f>+D32+214</f>
        <v>46633</v>
      </c>
      <c r="E31" s="1">
        <f>+E32+100*128</f>
        <v>1684800</v>
      </c>
      <c r="F31" s="1">
        <f>+A!C31-A!D31-A!E31</f>
        <v>309226</v>
      </c>
      <c r="G31" s="1"/>
      <c r="H31" s="4">
        <f>SUM(A!J31:J37)/7*1000000/A!H$3-SUM(A!F31:F37)/7*(1-A!N$3)</f>
        <v>143289.58730158728</v>
      </c>
      <c r="I31" s="7">
        <f>SUM(A!F28:F34)/7</f>
        <v>302501.14285714284</v>
      </c>
      <c r="J31" s="1">
        <v>5003</v>
      </c>
      <c r="K31" s="1">
        <v>151</v>
      </c>
      <c r="L31" s="1"/>
      <c r="M31" s="4">
        <f>A!D31-A!D32</f>
        <v>214</v>
      </c>
      <c r="N31" s="11">
        <f>SUM(A!P31:P37)/7*A!N$3</f>
        <v>341.81428571428575</v>
      </c>
      <c r="O31" s="4">
        <f>(SUM(A!M16:M22)/A!O$3*1000-SUM(A!P28:P34))/7+A!N30</f>
        <v>245918.44082918912</v>
      </c>
      <c r="P31" s="4">
        <f t="shared" si="23"/>
        <v>7141</v>
      </c>
      <c r="Q31" s="1">
        <f>SUM(A!P28:P34)/7</f>
        <v>15687.142857142857</v>
      </c>
      <c r="S31" s="2">
        <f>A!B193</f>
        <v>44052</v>
      </c>
      <c r="T31" s="1">
        <f>+A!U31-A!U32</f>
        <v>5998</v>
      </c>
      <c r="U31" s="1">
        <f>A!C193</f>
        <v>215891</v>
      </c>
      <c r="V31" s="1">
        <f>736171-19403</f>
        <v>716768</v>
      </c>
      <c r="W31" s="1">
        <f>SUM(AC191:AC197)/7</f>
        <v>17552.491722395011</v>
      </c>
      <c r="X31" s="1">
        <f>SUM(AD191:AD197)/7</f>
        <v>14486.59173120034</v>
      </c>
      <c r="Z31" s="10">
        <f t="shared" si="18"/>
        <v>44212</v>
      </c>
      <c r="AA31" s="1">
        <f>AI31*AI$3*2</f>
        <v>2368800</v>
      </c>
      <c r="AB31" s="1">
        <f t="shared" si="19"/>
        <v>302501.14285714284</v>
      </c>
      <c r="AC31" s="1">
        <f t="shared" si="20"/>
        <v>161078.11900329529</v>
      </c>
      <c r="AD31" s="1">
        <f t="shared" si="21"/>
        <v>5126176.4578271098</v>
      </c>
      <c r="AF31" s="10">
        <f t="shared" si="24"/>
        <v>44212</v>
      </c>
      <c r="AG31" s="6">
        <f t="shared" si="25"/>
        <v>0.31676544821657654</v>
      </c>
      <c r="AH31" s="6">
        <f t="shared" si="26"/>
        <v>0.93652613880756408</v>
      </c>
      <c r="AI31" s="6">
        <f>V$8/V$57*AI$4</f>
        <v>1.3897854757125316</v>
      </c>
      <c r="AJ31" s="1"/>
    </row>
    <row r="32" spans="1:60" ht="15.6">
      <c r="B32" s="2">
        <f t="shared" si="0"/>
        <v>44213</v>
      </c>
      <c r="C32" s="1">
        <f>+C33+13881</f>
        <v>2033518</v>
      </c>
      <c r="D32" s="1">
        <f>+D33+445</f>
        <v>46419</v>
      </c>
      <c r="E32" s="1">
        <f>+E33+100*141</f>
        <v>1672000</v>
      </c>
      <c r="F32" s="1">
        <f>+A!C32-A!D32-A!E32</f>
        <v>315099</v>
      </c>
      <c r="G32" s="1"/>
      <c r="H32" s="4">
        <f>SUM(A!J32:J38)/7*1000000/A!H$3-SUM(A!F32:F38)/7*(1-A!N$3)</f>
        <v>143335.65333333332</v>
      </c>
      <c r="I32" s="7">
        <f>SUM(A!F29:F35)/7</f>
        <v>306971.42857142858</v>
      </c>
      <c r="J32" s="1">
        <v>4971</v>
      </c>
      <c r="K32" s="1">
        <v>87</v>
      </c>
      <c r="L32" s="1"/>
      <c r="M32" s="4">
        <f>A!D32-A!D33</f>
        <v>445</v>
      </c>
      <c r="N32" s="11">
        <f>SUM(A!P32:P38)/7*A!N$3</f>
        <v>365.68857142857144</v>
      </c>
      <c r="O32" s="4">
        <f>(SUM(A!M17:M23)/A!O$3*1000-SUM(A!P29:P35))/7+A!N31</f>
        <v>247440.28552059887</v>
      </c>
      <c r="P32" s="4">
        <f t="shared" si="23"/>
        <v>13881</v>
      </c>
      <c r="Q32" s="1">
        <f>SUM(A!P29:P35)/7</f>
        <v>16368</v>
      </c>
      <c r="S32" s="2">
        <f>A!B200</f>
        <v>44045</v>
      </c>
      <c r="T32" s="1">
        <f>+A!U32-A!U33</f>
        <v>4624</v>
      </c>
      <c r="U32" s="1">
        <f>A!C200</f>
        <v>209893</v>
      </c>
      <c r="V32" s="1">
        <v>586620</v>
      </c>
      <c r="W32" s="1">
        <f>SUM(AC198:AC204)/7</f>
        <v>19631.023173067511</v>
      </c>
      <c r="X32" s="1">
        <f>SUM(AD198:AD204)/7</f>
        <v>16516.622847588547</v>
      </c>
      <c r="Z32" s="10">
        <f t="shared" si="18"/>
        <v>44211</v>
      </c>
      <c r="AA32" s="1">
        <f>AI32*AI$3*2</f>
        <v>2368800</v>
      </c>
      <c r="AB32" s="1">
        <f t="shared" si="19"/>
        <v>306971.42857142858</v>
      </c>
      <c r="AC32" s="1">
        <f t="shared" si="20"/>
        <v>163005.88462506313</v>
      </c>
      <c r="AD32" s="1">
        <f t="shared" si="21"/>
        <v>5070101.0164296655</v>
      </c>
      <c r="AF32" s="10">
        <f t="shared" si="24"/>
        <v>44211</v>
      </c>
      <c r="AG32" s="6">
        <f t="shared" si="25"/>
        <v>0.316601452115853</v>
      </c>
      <c r="AH32" s="6">
        <f t="shared" si="26"/>
        <v>0.93510542444834288</v>
      </c>
      <c r="AI32" s="6">
        <f>V$8/V$57*AI$4</f>
        <v>1.3897854757125316</v>
      </c>
      <c r="AJ32" s="1"/>
    </row>
    <row r="33" spans="2:36" ht="15.6">
      <c r="B33" s="2">
        <f t="shared" si="0"/>
        <v>44212</v>
      </c>
      <c r="C33" s="1">
        <f>+C34+18678</f>
        <v>2019637</v>
      </c>
      <c r="D33" s="1">
        <f>+D34+980</f>
        <v>45974</v>
      </c>
      <c r="E33" s="1">
        <f>+E34+100*167</f>
        <v>1657900</v>
      </c>
      <c r="F33" s="1">
        <f>+A!C33-A!D33-A!E33</f>
        <v>315763</v>
      </c>
      <c r="G33" s="1"/>
      <c r="H33" s="4">
        <f>SUM(A!J33:J39)/7*1000000/A!H$3-SUM(A!F33:F39)/7*(1-A!N$3)</f>
        <v>144297.49936507939</v>
      </c>
      <c r="I33" s="7">
        <f>SUM(A!F30:F36)/7</f>
        <v>311236.71428571426</v>
      </c>
      <c r="J33" s="1">
        <v>5015</v>
      </c>
      <c r="K33" s="1">
        <v>97</v>
      </c>
      <c r="L33" s="1"/>
      <c r="M33" s="4">
        <f>A!D33-A!D34</f>
        <v>980</v>
      </c>
      <c r="N33" s="11">
        <f>SUM(A!P33:P39)/7*A!N$3</f>
        <v>365.87428571428575</v>
      </c>
      <c r="O33" s="4">
        <f>(SUM(A!M18:M24)/A!O$3*1000-SUM(A!P30:P36))/7+A!N32</f>
        <v>249144.7673548657</v>
      </c>
      <c r="P33" s="4">
        <f t="shared" si="23"/>
        <v>18678</v>
      </c>
      <c r="Q33" s="1">
        <f>SUM(A!P30:P36)/7</f>
        <v>16886</v>
      </c>
      <c r="S33" s="2">
        <f>A!B207</f>
        <v>44038</v>
      </c>
      <c r="T33" s="1">
        <f>+A!U33-A!U34</f>
        <v>3695</v>
      </c>
      <c r="U33" s="1">
        <f>A!C207</f>
        <v>205269</v>
      </c>
      <c r="V33" s="1">
        <v>574883</v>
      </c>
      <c r="W33" s="1">
        <f>SUM(AC205:AC211)/7</f>
        <v>20853.686062881861</v>
      </c>
      <c r="X33" s="1">
        <f>SUM(AD205:AD211)/7</f>
        <v>22633.412029674077</v>
      </c>
      <c r="Z33" s="10">
        <f t="shared" si="18"/>
        <v>44210</v>
      </c>
      <c r="AA33" s="1">
        <f>AI33*AI$3*2</f>
        <v>2368800</v>
      </c>
      <c r="AB33" s="1">
        <f t="shared" si="19"/>
        <v>311236.71428571426</v>
      </c>
      <c r="AC33" s="1">
        <f t="shared" si="20"/>
        <v>166433.79990417013</v>
      </c>
      <c r="AD33" s="1">
        <f t="shared" si="21"/>
        <v>4877029.235949696</v>
      </c>
      <c r="AF33" s="10">
        <f t="shared" si="24"/>
        <v>44210</v>
      </c>
      <c r="AG33" s="6">
        <f t="shared" si="25"/>
        <v>0.31780001125559737</v>
      </c>
      <c r="AH33" s="6">
        <f t="shared" si="26"/>
        <v>0.93174403800858818</v>
      </c>
      <c r="AI33" s="6">
        <f>V$8/V$57*AI$4</f>
        <v>1.3897854757125316</v>
      </c>
      <c r="AJ33" s="1"/>
    </row>
    <row r="34" spans="2:36" ht="15.6">
      <c r="B34" s="2">
        <f t="shared" si="0"/>
        <v>44211</v>
      </c>
      <c r="C34" s="1">
        <f>+C35+22369</f>
        <v>2000959</v>
      </c>
      <c r="D34" s="1">
        <f>+D35+1113</f>
        <v>44994</v>
      </c>
      <c r="E34" s="1">
        <f>+E35+100*210</f>
        <v>1641200</v>
      </c>
      <c r="F34" s="1">
        <f>+A!C34-A!D34-A!E34</f>
        <v>314765</v>
      </c>
      <c r="G34" s="1"/>
      <c r="H34" s="4">
        <f>SUM(A!J34:J40)/7*1000000/A!H$3-SUM(A!F34:F40)/7*(1-A!N$3)</f>
        <v>145984.5660317461</v>
      </c>
      <c r="I34" s="7">
        <f>SUM(A!F31:F37)/7</f>
        <v>315114.28571428574</v>
      </c>
      <c r="J34" s="1">
        <v>5074</v>
      </c>
      <c r="K34" s="1">
        <v>210</v>
      </c>
      <c r="L34" s="1"/>
      <c r="M34" s="4">
        <f>A!D34-A!D35</f>
        <v>1113</v>
      </c>
      <c r="N34" s="11">
        <f>SUM(A!P34:P40)/7*A!N$3</f>
        <v>383.06285714285718</v>
      </c>
      <c r="O34" s="4">
        <f>(SUM(A!M19:M25)/A!O$3*1000-SUM(A!P31:P37))/7+A!N33</f>
        <v>246270.50104590901</v>
      </c>
      <c r="P34" s="4">
        <f t="shared" si="23"/>
        <v>22369</v>
      </c>
      <c r="Q34" s="1">
        <f>SUM(A!P31:P37)/7</f>
        <v>17090.714285714286</v>
      </c>
      <c r="S34" s="2">
        <f>A!B214</f>
        <v>44031</v>
      </c>
      <c r="T34" s="1">
        <f>+A!U34-A!U35</f>
        <v>2770</v>
      </c>
      <c r="U34" s="1">
        <f>A!C214</f>
        <v>201574</v>
      </c>
      <c r="V34" s="1">
        <v>538701</v>
      </c>
      <c r="W34" s="1">
        <f>SUM(AC212:AC218)/7</f>
        <v>21492.950548751414</v>
      </c>
      <c r="X34" s="1">
        <f>SUM(AD212:AD218)/7</f>
        <v>16915.332592432602</v>
      </c>
      <c r="Z34" s="10">
        <f t="shared" si="18"/>
        <v>44209</v>
      </c>
      <c r="AA34" s="1">
        <f>AI34*AI$3*2</f>
        <v>2368800</v>
      </c>
      <c r="AB34" s="1">
        <f t="shared" si="19"/>
        <v>315114.28571428574</v>
      </c>
      <c r="AC34" s="1">
        <f t="shared" si="20"/>
        <v>171047.56517356794</v>
      </c>
      <c r="AD34" s="1">
        <f t="shared" si="21"/>
        <v>4973120.7610273538</v>
      </c>
      <c r="AF34" s="10">
        <f t="shared" si="24"/>
        <v>44209</v>
      </c>
      <c r="AG34" s="6">
        <f t="shared" si="25"/>
        <v>0.320316281276669</v>
      </c>
      <c r="AH34" s="6">
        <f t="shared" si="26"/>
        <v>0.93198208596346543</v>
      </c>
      <c r="AI34" s="6">
        <f>V$8/V$57*AI$4</f>
        <v>1.3897854757125316</v>
      </c>
      <c r="AJ34" s="1"/>
    </row>
    <row r="35" spans="2:36" ht="15.6">
      <c r="B35" s="2">
        <f t="shared" si="0"/>
        <v>44210</v>
      </c>
      <c r="C35" s="1">
        <f>+C36+25164</f>
        <v>1978590</v>
      </c>
      <c r="D35" s="1">
        <f>+D36+1244</f>
        <v>43881</v>
      </c>
      <c r="E35" s="1">
        <f>+E36+100*236</f>
        <v>1620200</v>
      </c>
      <c r="F35" s="1">
        <f>+A!C35-A!D35-A!E35</f>
        <v>314509</v>
      </c>
      <c r="G35" s="1"/>
      <c r="H35" s="4">
        <f>SUM(A!J35:J41)/7*1000000/A!H$3-SUM(A!F35:F41)/7*(1-A!N$3)</f>
        <v>148499.1352380953</v>
      </c>
      <c r="I35" s="7">
        <f>SUM(A!F32:F38)/7</f>
        <v>318773.14285714284</v>
      </c>
      <c r="J35" s="1">
        <v>5125</v>
      </c>
      <c r="K35" s="1">
        <v>138</v>
      </c>
      <c r="L35" s="1"/>
      <c r="M35" s="4">
        <f>A!D35-A!D36</f>
        <v>1244</v>
      </c>
      <c r="N35" s="11">
        <f>SUM(A!P35:P41)/7*A!N$3</f>
        <v>410.14857142857147</v>
      </c>
      <c r="O35" s="4">
        <f>(SUM(A!M20:M26)/A!O$3*1000-SUM(A!P32:P38))/7+A!N34</f>
        <v>249595.88602627857</v>
      </c>
      <c r="P35" s="4">
        <f t="shared" si="23"/>
        <v>25164</v>
      </c>
      <c r="Q35" s="1">
        <f>SUM(A!P32:P38)/7</f>
        <v>18284.428571428572</v>
      </c>
      <c r="S35" s="2">
        <f>A!B221</f>
        <v>44024</v>
      </c>
      <c r="T35" s="1">
        <f>+A!U35-A!U36</f>
        <v>2469</v>
      </c>
      <c r="U35" s="1">
        <f>A!C221</f>
        <v>198804</v>
      </c>
      <c r="V35" s="1">
        <v>510551</v>
      </c>
      <c r="W35" s="1">
        <f>SUM(AC219:AC225)/7</f>
        <v>24004.385099205123</v>
      </c>
      <c r="X35" s="1">
        <f>SUM(AD219:AD225)/7</f>
        <v>18895.990314841951</v>
      </c>
      <c r="Z35" s="10">
        <f t="shared" si="18"/>
        <v>44208</v>
      </c>
      <c r="AA35" s="1">
        <f>AI35*AI$3*2</f>
        <v>2368800</v>
      </c>
      <c r="AB35" s="1">
        <f t="shared" si="19"/>
        <v>318773.14285714284</v>
      </c>
      <c r="AC35" s="1">
        <f t="shared" si="20"/>
        <v>175684.81317480118</v>
      </c>
      <c r="AD35" s="1">
        <f t="shared" si="21"/>
        <v>4863157.0833646553</v>
      </c>
      <c r="AF35" s="10">
        <f t="shared" si="24"/>
        <v>44208</v>
      </c>
      <c r="AG35" s="6">
        <f t="shared" si="25"/>
        <v>0.32353714113601684</v>
      </c>
      <c r="AH35" s="6">
        <f t="shared" si="26"/>
        <v>0.92977171444991369</v>
      </c>
      <c r="AI35" s="6">
        <f>V$8/V$57*AI$4</f>
        <v>1.3897854757125316</v>
      </c>
      <c r="AJ35" s="1"/>
    </row>
    <row r="36" spans="2:36" ht="15.6">
      <c r="B36" s="2">
        <f t="shared" si="0"/>
        <v>44209</v>
      </c>
      <c r="C36" s="1">
        <f>+C37+19600</f>
        <v>1953426</v>
      </c>
      <c r="D36" s="1">
        <f>+D37+1060</f>
        <v>42637</v>
      </c>
      <c r="E36" s="1">
        <f>+E37+100*266</f>
        <v>1596600</v>
      </c>
      <c r="F36" s="1">
        <f>+A!C36-A!D36-A!E36</f>
        <v>314189</v>
      </c>
      <c r="G36" s="1"/>
      <c r="H36" s="4">
        <f>SUM(A!J36:J42)/7*1000000/A!H$3-SUM(A!F36:F42)/7*(1-A!N$3)</f>
        <v>151897.67428571422</v>
      </c>
      <c r="I36" s="7">
        <f>SUM(A!F33:F39)/7</f>
        <v>322313.85714285716</v>
      </c>
      <c r="J36" s="1">
        <v>5185</v>
      </c>
      <c r="K36" s="1">
        <v>166</v>
      </c>
      <c r="L36" s="1"/>
      <c r="M36" s="4">
        <f>A!D36-A!D37</f>
        <v>1060</v>
      </c>
      <c r="N36" s="11">
        <f>SUM(A!P36:P42)/7*A!N$3</f>
        <v>413.65428571428572</v>
      </c>
      <c r="O36" s="4">
        <f>(SUM(A!M21:M27)/A!O$3*1000-SUM(A!P33:P39))/7+A!N35</f>
        <v>250660.64200177981</v>
      </c>
      <c r="P36" s="4">
        <f t="shared" si="23"/>
        <v>19600</v>
      </c>
      <c r="Q36" s="1">
        <f>SUM(A!P33:P39)/7</f>
        <v>18293.714285714286</v>
      </c>
      <c r="S36" s="2">
        <f>A!B228</f>
        <v>44017</v>
      </c>
      <c r="T36" s="1">
        <f>+A!U36-A!U37</f>
        <v>2836</v>
      </c>
      <c r="U36" s="1">
        <f>A!C228</f>
        <v>196335</v>
      </c>
      <c r="V36" s="1">
        <v>507663</v>
      </c>
      <c r="W36" s="1">
        <f>SUM(AC226:AC232)/7</f>
        <v>26664.245243013229</v>
      </c>
      <c r="X36" s="1">
        <f>SUM(AD226:AD232)/7</f>
        <v>17958.362535783701</v>
      </c>
      <c r="Z36" s="10">
        <f t="shared" si="18"/>
        <v>44207</v>
      </c>
      <c r="AA36" s="1">
        <f>AI36*AI$3*2</f>
        <v>2368800</v>
      </c>
      <c r="AB36" s="1">
        <f t="shared" si="19"/>
        <v>322313.85714285716</v>
      </c>
      <c r="AC36" s="1">
        <f t="shared" si="20"/>
        <v>181537.68996941388</v>
      </c>
      <c r="AD36" s="1">
        <f t="shared" si="21"/>
        <v>4718558.7188913571</v>
      </c>
      <c r="AF36" s="10">
        <f t="shared" si="24"/>
        <v>44207</v>
      </c>
      <c r="AG36" s="6">
        <f t="shared" si="25"/>
        <v>0.32862906110046747</v>
      </c>
      <c r="AH36" s="6">
        <f t="shared" si="26"/>
        <v>0.92712908560964968</v>
      </c>
      <c r="AI36" s="6">
        <f>V$8/V$57*AI$4</f>
        <v>1.3897854757125316</v>
      </c>
      <c r="AJ36" s="1" t="s">
        <v>41</v>
      </c>
    </row>
    <row r="37" spans="2:36" ht="15.6">
      <c r="B37" s="2">
        <f t="shared" si="0"/>
        <v>44208</v>
      </c>
      <c r="C37" s="1">
        <f>+C38+12802</f>
        <v>1933826</v>
      </c>
      <c r="D37" s="1">
        <f>+D38+891</f>
        <v>41577</v>
      </c>
      <c r="E37" s="1">
        <f>+E38+100*245</f>
        <v>1570000</v>
      </c>
      <c r="F37" s="1">
        <f>+A!C37-A!D37-A!E37</f>
        <v>322249</v>
      </c>
      <c r="G37" s="1"/>
      <c r="H37" s="4">
        <f>SUM(A!J37:J43)/7*1000000/A!H$3-SUM(A!F37:F43)/7*(1-A!N$3)</f>
        <v>155804.92476190475</v>
      </c>
      <c r="I37" s="7">
        <f>SUM(A!F34:F40)/7</f>
        <v>325762.42857142858</v>
      </c>
      <c r="J37" s="1">
        <v>5230</v>
      </c>
      <c r="K37" s="1">
        <v>239</v>
      </c>
      <c r="L37" s="1"/>
      <c r="M37" s="4">
        <f>A!D37-A!D38</f>
        <v>891</v>
      </c>
      <c r="N37" s="11">
        <f>SUM(A!P37:P43)/7*A!N$3</f>
        <v>418.33142857142855</v>
      </c>
      <c r="O37" s="4">
        <f>(SUM(A!M22:M28)/A!O$3*1000-SUM(A!P34:P40))/7+A!N36</f>
        <v>253573.76065644139</v>
      </c>
      <c r="P37" s="4">
        <f t="shared" si="23"/>
        <v>12802</v>
      </c>
      <c r="Q37" s="1">
        <f>SUM(A!P34:P40)/7</f>
        <v>19153.142857142859</v>
      </c>
      <c r="S37" s="2">
        <f>A!B235</f>
        <v>44010</v>
      </c>
      <c r="T37" s="1">
        <f>+A!U37-A!U38</f>
        <v>3677</v>
      </c>
      <c r="U37" s="1">
        <f>A!C235</f>
        <v>193499</v>
      </c>
      <c r="V37" s="1">
        <v>467413</v>
      </c>
      <c r="W37" s="1">
        <f>SUM(AC233:AC239)/7</f>
        <v>30533.066118847353</v>
      </c>
      <c r="X37" s="1">
        <f>SUM(AD233:AD239)/7</f>
        <v>29553.668579533227</v>
      </c>
      <c r="Z37" s="10">
        <f t="shared" si="18"/>
        <v>44206</v>
      </c>
      <c r="AA37" s="1">
        <f>AI37*AI$3*2</f>
        <v>2455054</v>
      </c>
      <c r="AB37" s="1">
        <f t="shared" si="19"/>
        <v>325762.42857142858</v>
      </c>
      <c r="AC37" s="1">
        <f t="shared" si="20"/>
        <v>187872.0549716246</v>
      </c>
      <c r="AD37" s="1">
        <f t="shared" si="21"/>
        <v>4789501.2515977724</v>
      </c>
      <c r="AF37" s="10">
        <f t="shared" si="24"/>
        <v>44206</v>
      </c>
      <c r="AG37" s="6">
        <f t="shared" si="25"/>
        <v>0.3346804121652896</v>
      </c>
      <c r="AH37" s="6">
        <f t="shared" si="26"/>
        <v>0.92766274491822065</v>
      </c>
      <c r="AI37" s="6">
        <f>V$9/V$57*AI$4</f>
        <v>1.440391080416225</v>
      </c>
      <c r="AJ37" s="1"/>
    </row>
    <row r="38" spans="2:36" ht="15.6">
      <c r="B38" s="2">
        <f t="shared" si="0"/>
        <v>44207</v>
      </c>
      <c r="C38" s="1">
        <f>+C39+15497</f>
        <v>1921024</v>
      </c>
      <c r="D38" s="1">
        <f>+D39+343</f>
        <v>40686</v>
      </c>
      <c r="E38" s="1">
        <f>+E39+100*202</f>
        <v>1545500</v>
      </c>
      <c r="F38" s="1">
        <f>+A!C38-A!D38-A!E38</f>
        <v>334838</v>
      </c>
      <c r="G38" s="1"/>
      <c r="H38" s="4">
        <f>SUM(A!J38:J44)/7*1000000/A!H$3-SUM(A!F38:F44)/7*(1-A!N$3)</f>
        <v>160801.79365079361</v>
      </c>
      <c r="I38" s="7">
        <f>SUM(A!F35:F41)/7</f>
        <v>328509.14285714284</v>
      </c>
      <c r="J38" s="1">
        <v>5289</v>
      </c>
      <c r="K38" s="1">
        <v>139</v>
      </c>
      <c r="L38" s="1"/>
      <c r="M38" s="4">
        <f>A!D38-A!D39</f>
        <v>343</v>
      </c>
      <c r="N38" s="11">
        <f>SUM(A!P38:P44)/7*A!N$3</f>
        <v>415.74571428571426</v>
      </c>
      <c r="O38" s="4">
        <f>(SUM(A!M23:M29)/A!O$3*1000-SUM(A!P35:P41))/7+A!N37</f>
        <v>260913.88668167303</v>
      </c>
      <c r="P38" s="4">
        <f t="shared" si="23"/>
        <v>15497</v>
      </c>
      <c r="Q38" s="1">
        <f>SUM(A!P35:P41)/7</f>
        <v>20507.428571428572</v>
      </c>
      <c r="S38" s="2">
        <f>A!B242</f>
        <v>44003</v>
      </c>
      <c r="T38" s="1">
        <f>+A!U38-A!U39</f>
        <v>3553</v>
      </c>
      <c r="U38" s="1">
        <f>A!C242</f>
        <v>189822</v>
      </c>
      <c r="V38" s="1">
        <v>388187</v>
      </c>
      <c r="W38" s="1">
        <f>SUM(AC240:AC246)/7</f>
        <v>38750.791927230268</v>
      </c>
      <c r="X38" s="1">
        <f>SUM(AD240:AD246)/7</f>
        <v>37936.990529911207</v>
      </c>
      <c r="Z38" s="10">
        <f t="shared" si="18"/>
        <v>44205</v>
      </c>
      <c r="AA38" s="1">
        <f>AI38*AI$3*2</f>
        <v>2455054</v>
      </c>
      <c r="AB38" s="1">
        <f t="shared" si="19"/>
        <v>328509.14285714284</v>
      </c>
      <c r="AC38" s="1">
        <f t="shared" si="20"/>
        <v>192765.56716378653</v>
      </c>
      <c r="AD38" s="1">
        <f t="shared" si="21"/>
        <v>4744359.0917522199</v>
      </c>
      <c r="AF38" s="10">
        <f t="shared" si="24"/>
        <v>44205</v>
      </c>
      <c r="AG38" s="6">
        <f t="shared" si="25"/>
        <v>0.33968749519488051</v>
      </c>
      <c r="AH38" s="6">
        <f t="shared" si="26"/>
        <v>0.92680049765190498</v>
      </c>
      <c r="AI38" s="6">
        <f>V$9/V$57*AI$4</f>
        <v>1.440391080416225</v>
      </c>
      <c r="AJ38" s="1"/>
    </row>
    <row r="39" spans="2:36" ht="15.6">
      <c r="B39" s="2">
        <f t="shared" si="0"/>
        <v>44206</v>
      </c>
      <c r="C39" s="1">
        <f>+C40+13946</f>
        <v>1905527</v>
      </c>
      <c r="D39" s="1">
        <f>+D40+465</f>
        <v>40343</v>
      </c>
      <c r="E39" s="1">
        <f>+E40+100*135</f>
        <v>1525300</v>
      </c>
      <c r="F39" s="1">
        <f>+A!C39-A!D39-A!E39</f>
        <v>339884</v>
      </c>
      <c r="G39" s="1"/>
      <c r="H39" s="4">
        <f>SUM(A!J39:J45)/7*1000000/A!H$3-SUM(A!F39:F45)/7*(1-A!N$3)</f>
        <v>165893.43142857146</v>
      </c>
      <c r="I39" s="7">
        <f>SUM(A!F36:F42)/7</f>
        <v>329783.71428571426</v>
      </c>
      <c r="J39" s="1">
        <v>5320</v>
      </c>
      <c r="K39" s="1">
        <v>143</v>
      </c>
      <c r="L39" s="1"/>
      <c r="M39" s="4">
        <f>A!D39-A!D40</f>
        <v>465</v>
      </c>
      <c r="N39" s="11">
        <f>SUM(A!P39:P45)/7*A!N$3</f>
        <v>399.6028571428572</v>
      </c>
      <c r="O39" s="4">
        <f>(SUM(A!M24:M30)/A!O$3*1000-SUM(A!P36:P42))/7+A!N38</f>
        <v>265237.92594775686</v>
      </c>
      <c r="P39" s="4">
        <f t="shared" si="23"/>
        <v>13946</v>
      </c>
      <c r="Q39" s="1">
        <f>SUM(A!P36:P42)/7</f>
        <v>20682.714285714286</v>
      </c>
      <c r="S39" s="2">
        <f>A!B249</f>
        <v>43996</v>
      </c>
      <c r="T39" s="1">
        <f>+A!U39-A!U40</f>
        <v>2472</v>
      </c>
      <c r="U39" s="1">
        <f>A!C249</f>
        <v>186269</v>
      </c>
      <c r="V39" s="1">
        <v>327196</v>
      </c>
      <c r="W39" s="1">
        <f>SUM(AC247:AC253)/7</f>
        <v>46725.396617901504</v>
      </c>
      <c r="X39" s="1">
        <f>SUM(AD247:AD253)/7</f>
        <v>67151.681302133395</v>
      </c>
      <c r="Z39" s="10">
        <f t="shared" si="18"/>
        <v>44204</v>
      </c>
      <c r="AA39" s="1">
        <f>AI39*AI$3*2</f>
        <v>2455054</v>
      </c>
      <c r="AB39" s="1">
        <f t="shared" si="19"/>
        <v>329783.71428571426</v>
      </c>
      <c r="AC39" s="1">
        <f t="shared" si="20"/>
        <v>195077.88236052738</v>
      </c>
      <c r="AD39" s="1">
        <f t="shared" si="21"/>
        <v>4879791.3146814145</v>
      </c>
      <c r="AF39" s="10">
        <f t="shared" si="24"/>
        <v>44204</v>
      </c>
      <c r="AG39" s="6">
        <f t="shared" si="25"/>
        <v>0.34180148239765062</v>
      </c>
      <c r="AH39" s="6">
        <f t="shared" si="26"/>
        <v>0.92852054105199633</v>
      </c>
      <c r="AI39" s="6">
        <f>V$9/V$57*AI$4</f>
        <v>1.440391080416225</v>
      </c>
      <c r="AJ39" s="1"/>
    </row>
    <row r="40" spans="2:36" ht="15.6">
      <c r="B40" s="2">
        <f t="shared" si="0"/>
        <v>44205</v>
      </c>
      <c r="C40" s="1">
        <f>+C41+24694</f>
        <v>1891581</v>
      </c>
      <c r="D40" s="1">
        <f>+D41+1083</f>
        <v>39878</v>
      </c>
      <c r="E40" s="1">
        <f>+E41+100*177</f>
        <v>1511800</v>
      </c>
      <c r="F40" s="1">
        <f>+A!C40-A!D40-A!E40</f>
        <v>339903</v>
      </c>
      <c r="G40" s="1"/>
      <c r="H40" s="4">
        <f>SUM(A!J40:J46)/7*1000000/A!H$3-SUM(A!F40:F46)/7*(1-A!N$3)</f>
        <v>170160.72984126979</v>
      </c>
      <c r="I40" s="7">
        <f>SUM(A!F37:F43)/7</f>
        <v>330772.42857142858</v>
      </c>
      <c r="J40" s="1">
        <v>5414</v>
      </c>
      <c r="K40" s="1">
        <v>195</v>
      </c>
      <c r="L40" s="1"/>
      <c r="M40" s="4">
        <f>A!D40-A!D41</f>
        <v>1083</v>
      </c>
      <c r="N40" s="11">
        <f>SUM(A!P40:P46)/7*A!N$3</f>
        <v>389.22857142857146</v>
      </c>
      <c r="O40" s="4">
        <f>(SUM(A!M25:M31)/A!O$3*1000-SUM(A!P37:P43))/7+A!N39</f>
        <v>264830.88255143171</v>
      </c>
      <c r="P40" s="4">
        <f t="shared" si="23"/>
        <v>24694</v>
      </c>
      <c r="Q40" s="1">
        <f>SUM(A!P37:P43)/7</f>
        <v>20916.571428571428</v>
      </c>
      <c r="S40" s="2">
        <f>A!B256</f>
        <v>43989</v>
      </c>
      <c r="T40" s="1">
        <f>+A!U40-A!U41</f>
        <v>2315</v>
      </c>
      <c r="U40" s="1">
        <f>A!C256</f>
        <v>183797</v>
      </c>
      <c r="V40" s="1">
        <v>340986</v>
      </c>
      <c r="W40" s="1">
        <f>SUM(AC254:AC260)/7</f>
        <v>58133.640302557025</v>
      </c>
      <c r="X40" s="1">
        <f>SUM(AD254:AD260)/7</f>
        <v>94766.59625845043</v>
      </c>
      <c r="Z40" s="10">
        <f t="shared" si="18"/>
        <v>44203</v>
      </c>
      <c r="AA40" s="1">
        <f>AI40*AI$3*2</f>
        <v>2455054</v>
      </c>
      <c r="AB40" s="1">
        <f t="shared" si="19"/>
        <v>330772.42857142858</v>
      </c>
      <c r="AC40" s="1">
        <f t="shared" si="20"/>
        <v>193289.66404399072</v>
      </c>
      <c r="AD40" s="1">
        <f t="shared" si="21"/>
        <v>5215537.0500027789</v>
      </c>
      <c r="AF40" s="10">
        <f t="shared" si="24"/>
        <v>44203</v>
      </c>
      <c r="AG40" s="6">
        <f t="shared" si="25"/>
        <v>0.33862714597744364</v>
      </c>
      <c r="AH40" s="6">
        <f t="shared" si="26"/>
        <v>0.93250300599088443</v>
      </c>
      <c r="AI40" s="6">
        <f>V$9/V$57*AI$4</f>
        <v>1.440391080416225</v>
      </c>
      <c r="AJ40" s="1"/>
    </row>
    <row r="41" spans="2:36" ht="15.6">
      <c r="B41" s="2">
        <f t="shared" si="0"/>
        <v>44204</v>
      </c>
      <c r="C41" s="1">
        <f>+C42+31849</f>
        <v>1866887</v>
      </c>
      <c r="D41" s="1">
        <f>+D42+1188</f>
        <v>38795</v>
      </c>
      <c r="E41" s="1">
        <f>+E42+100*201</f>
        <v>1494100</v>
      </c>
      <c r="F41" s="1">
        <f>+A!C41-A!D41-A!E41</f>
        <v>333992</v>
      </c>
      <c r="G41" s="1"/>
      <c r="H41" s="4">
        <f>SUM(A!J41:J47)/7*1000000/A!H$3-SUM(A!F41:F47)/7*(1-A!N$3)</f>
        <v>172136.31460317469</v>
      </c>
      <c r="I41" s="7">
        <f>SUM(A!F38:F44)/7</f>
        <v>331478.57142857142</v>
      </c>
      <c r="J41" s="1">
        <v>5484</v>
      </c>
      <c r="K41" s="1">
        <v>180</v>
      </c>
      <c r="L41" s="1"/>
      <c r="M41" s="4">
        <f>A!D41-A!D42</f>
        <v>1188</v>
      </c>
      <c r="N41" s="11">
        <f>SUM(A!P41:P47)/7*A!N$3</f>
        <v>354.93142857142857</v>
      </c>
      <c r="O41" s="4">
        <f>(SUM(A!M26:M32)/A!O$3*1000-SUM(A!P38:P44))/7+A!N40</f>
        <v>270027.5304611841</v>
      </c>
      <c r="P41" s="4">
        <f t="shared" si="23"/>
        <v>31849</v>
      </c>
      <c r="Q41" s="1">
        <f>SUM(A!P38:P44)/7</f>
        <v>20787.285714285714</v>
      </c>
      <c r="S41" s="2">
        <f>A!B263</f>
        <v>43982</v>
      </c>
      <c r="T41" s="1">
        <f>+A!U41-A!U42</f>
        <v>3201</v>
      </c>
      <c r="U41" s="1">
        <f>A!C263</f>
        <v>181482</v>
      </c>
      <c r="V41" s="1">
        <v>405269</v>
      </c>
      <c r="W41" s="1">
        <f>SUM(AC261:AC267)/7</f>
        <v>73644.501449201271</v>
      </c>
      <c r="X41" s="1">
        <f>SUM(AD261:AD267)/7</f>
        <v>151973.84632687937</v>
      </c>
      <c r="Z41" s="10">
        <f t="shared" si="18"/>
        <v>44202</v>
      </c>
      <c r="AA41" s="1">
        <f>AI41*AI$3*2</f>
        <v>2455054</v>
      </c>
      <c r="AB41" s="1">
        <f t="shared" si="19"/>
        <v>331478.57142857142</v>
      </c>
      <c r="AC41" s="1">
        <f t="shared" si="20"/>
        <v>190321.15841542985</v>
      </c>
      <c r="AD41" s="1">
        <f t="shared" si="21"/>
        <v>5659249.2568787867</v>
      </c>
      <c r="AF41" s="10">
        <f t="shared" si="24"/>
        <v>44202</v>
      </c>
      <c r="AG41" s="6">
        <f t="shared" si="25"/>
        <v>0.33370130641908841</v>
      </c>
      <c r="AH41" s="6">
        <f t="shared" si="26"/>
        <v>0.93707629904114931</v>
      </c>
      <c r="AI41" s="6">
        <f>V$9/V$57*AI$4</f>
        <v>1.440391080416225</v>
      </c>
      <c r="AJ41" s="1"/>
    </row>
    <row r="42" spans="2:36" ht="15.6">
      <c r="B42" s="2">
        <f t="shared" si="0"/>
        <v>44203</v>
      </c>
      <c r="C42" s="1">
        <f>+C43+26391</f>
        <v>1835038</v>
      </c>
      <c r="D42" s="1">
        <f>+D43+1070</f>
        <v>37607</v>
      </c>
      <c r="E42" s="1">
        <f>+E43+100*230</f>
        <v>1474000</v>
      </c>
      <c r="F42" s="1">
        <f>+A!C42-A!D42-A!E42</f>
        <v>323431</v>
      </c>
      <c r="G42" s="1"/>
      <c r="H42" s="4">
        <f>SUM(A!J42:J48)/7*1000000/A!H$3-SUM(A!F42:F48)/7*(1-A!N$3)</f>
        <v>170077.63365079358</v>
      </c>
      <c r="I42" s="7">
        <f>SUM(A!F39:F45)/7</f>
        <v>332178.71428571426</v>
      </c>
      <c r="J42" s="1">
        <v>5491</v>
      </c>
      <c r="K42" s="1">
        <v>203</v>
      </c>
      <c r="L42" s="1"/>
      <c r="M42" s="4">
        <f>A!D42-A!D43</f>
        <v>1070</v>
      </c>
      <c r="N42" s="11">
        <f>SUM(A!P42:P48)/7*A!N$3</f>
        <v>329.43142857142857</v>
      </c>
      <c r="O42" s="4">
        <f>(SUM(A!M27:M33)/A!O$3*1000-SUM(A!P39:P45))/7+A!N41</f>
        <v>276035.15605297592</v>
      </c>
      <c r="P42" s="4">
        <f t="shared" si="23"/>
        <v>26391</v>
      </c>
      <c r="Q42" s="1">
        <f>SUM(A!P39:P45)/7</f>
        <v>19980.142857142859</v>
      </c>
      <c r="S42" s="2">
        <f>A!B270</f>
        <v>43975</v>
      </c>
      <c r="T42" s="1">
        <f>+A!U42-A!U43</f>
        <v>3926</v>
      </c>
      <c r="U42" s="1">
        <f>A!C270</f>
        <v>178281</v>
      </c>
      <c r="V42" s="1">
        <v>353467</v>
      </c>
      <c r="W42" s="1">
        <f>SUM(AC268:AC274)/7</f>
        <v>96748.401153824103</v>
      </c>
      <c r="X42" s="1">
        <f>SUM(AD268:AD274)/7</f>
        <v>179787.54217945822</v>
      </c>
      <c r="Z42" s="10">
        <f t="shared" si="18"/>
        <v>44201</v>
      </c>
      <c r="AA42" s="1">
        <f>AI42*AI$3*2</f>
        <v>2455054</v>
      </c>
      <c r="AB42" s="1">
        <f t="shared" si="19"/>
        <v>332178.71428571426</v>
      </c>
      <c r="AC42" s="1">
        <f t="shared" si="20"/>
        <v>186355.75754680581</v>
      </c>
      <c r="AD42" s="1">
        <f t="shared" si="21"/>
        <v>6537963.1958369687</v>
      </c>
      <c r="AF42" s="10">
        <f t="shared" si="24"/>
        <v>44201</v>
      </c>
      <c r="AG42" s="6">
        <f t="shared" si="25"/>
        <v>0.32782436914466229</v>
      </c>
      <c r="AH42" s="6">
        <f t="shared" si="26"/>
        <v>0.94478286356777874</v>
      </c>
      <c r="AI42" s="6">
        <f>V$9/V$57*AI$4</f>
        <v>1.440391080416225</v>
      </c>
      <c r="AJ42" s="1"/>
    </row>
    <row r="43" spans="2:36" ht="15.6">
      <c r="B43" s="2">
        <f t="shared" si="0"/>
        <v>44202</v>
      </c>
      <c r="C43" s="1">
        <f>+C44+21237</f>
        <v>1808647</v>
      </c>
      <c r="D43" s="1">
        <f>+D44+1019</f>
        <v>36537</v>
      </c>
      <c r="E43" s="1">
        <f>+E44+100*263</f>
        <v>1451000</v>
      </c>
      <c r="F43" s="1">
        <f>+A!C43-A!D43-A!E43</f>
        <v>321110</v>
      </c>
      <c r="G43" s="1"/>
      <c r="H43" s="4">
        <f>SUM(A!J43:J49)/7*1000000/A!H$3-SUM(A!F43:F49)/7*(1-A!N$3)</f>
        <v>167052.09873015864</v>
      </c>
      <c r="I43" s="7">
        <f>SUM(A!F40:F46)/7</f>
        <v>333551.57142857142</v>
      </c>
      <c r="J43" s="1">
        <v>5569</v>
      </c>
      <c r="K43" s="1">
        <v>240</v>
      </c>
      <c r="L43" s="1"/>
      <c r="M43" s="4">
        <f>A!D43-A!D44</f>
        <v>1019</v>
      </c>
      <c r="N43" s="11">
        <f>SUM(A!P43:P49)/7*A!N$3</f>
        <v>347.03428571428572</v>
      </c>
      <c r="O43" s="4">
        <f>(SUM(A!M28:M34)/A!O$3*1000-SUM(A!P40:P46))/7+A!N42</f>
        <v>289824.71122755582</v>
      </c>
      <c r="P43" s="4">
        <f t="shared" si="23"/>
        <v>21237</v>
      </c>
      <c r="Q43" s="1">
        <f>SUM(A!P40:P46)/7</f>
        <v>19461.428571428572</v>
      </c>
      <c r="S43" s="2">
        <f>A!B277</f>
        <v>43968</v>
      </c>
      <c r="T43" s="1">
        <f>+A!U43-A!U44</f>
        <v>5137</v>
      </c>
      <c r="U43" s="1">
        <f>A!C277</f>
        <v>174355</v>
      </c>
      <c r="V43" s="1">
        <v>432666</v>
      </c>
      <c r="W43" s="1">
        <f>SUM(AC275:AC281)/7</f>
        <v>130743.67088605484</v>
      </c>
      <c r="X43" s="1">
        <f>SUM(AD275:AD281)/7</f>
        <v>275030.99433564529</v>
      </c>
      <c r="Z43" s="10">
        <f t="shared" si="18"/>
        <v>44200</v>
      </c>
      <c r="AA43" s="1">
        <f>AI43*AI$3*2</f>
        <v>2455054</v>
      </c>
      <c r="AB43" s="1">
        <f t="shared" si="19"/>
        <v>333551.57142857142</v>
      </c>
      <c r="AC43" s="1">
        <f t="shared" si="20"/>
        <v>180408.23759170822</v>
      </c>
      <c r="AD43" s="1">
        <f t="shared" si="21"/>
        <v>7003840.5865934053</v>
      </c>
      <c r="AF43" s="10">
        <f t="shared" si="24"/>
        <v>44200</v>
      </c>
      <c r="AG43" s="6">
        <f t="shared" si="25"/>
        <v>0.31956439474311621</v>
      </c>
      <c r="AH43" s="6">
        <f t="shared" si="26"/>
        <v>0.94800524940792685</v>
      </c>
      <c r="AI43" s="6">
        <f>V$9/V$57*AI$4</f>
        <v>1.440391080416225</v>
      </c>
      <c r="AJ43" s="1" t="s">
        <v>41</v>
      </c>
    </row>
    <row r="44" spans="2:36" ht="15.6">
      <c r="B44" s="2">
        <f t="shared" si="0"/>
        <v>44201</v>
      </c>
      <c r="C44" s="1">
        <f>+C45+11897</f>
        <v>1787410</v>
      </c>
      <c r="D44" s="1">
        <f>+D45+944</f>
        <v>35518</v>
      </c>
      <c r="E44" s="1">
        <f>+E45+100*235</f>
        <v>1424700</v>
      </c>
      <c r="F44" s="1">
        <f>+A!C44-A!D44-A!E44</f>
        <v>327192</v>
      </c>
      <c r="G44" s="1"/>
      <c r="H44" s="4">
        <f>SUM(A!J44:J50)/7*1000000/A!H$3-SUM(A!F44:F50)/7*(1-A!N$3)</f>
        <v>163663.7533333333</v>
      </c>
      <c r="I44" s="7">
        <f>SUM(A!F41:F47)/7</f>
        <v>335578.42857142858</v>
      </c>
      <c r="J44" s="1">
        <v>5678</v>
      </c>
      <c r="K44" s="1">
        <v>318</v>
      </c>
      <c r="L44" s="1"/>
      <c r="M44" s="4">
        <f>A!D44-A!D45</f>
        <v>944</v>
      </c>
      <c r="N44" s="11">
        <f>SUM(A!P44:P50)/7*A!N$3</f>
        <v>350.52571428571429</v>
      </c>
      <c r="O44" s="4">
        <f>(SUM(A!M29:M35)/A!O$3*1000-SUM(A!P41:P47))/7+A!N43</f>
        <v>303649.51274459512</v>
      </c>
      <c r="P44" s="4">
        <f t="shared" si="23"/>
        <v>11897</v>
      </c>
      <c r="Q44" s="1">
        <f>SUM(A!P41:P47)/7</f>
        <v>17746.571428571428</v>
      </c>
      <c r="S44" s="2">
        <f>A!B284</f>
        <v>43961</v>
      </c>
      <c r="T44" s="1">
        <f>+A!U44-A!U45</f>
        <v>6722</v>
      </c>
      <c r="U44" s="1">
        <f>A!C284</f>
        <v>169218</v>
      </c>
      <c r="V44" s="1">
        <v>403875</v>
      </c>
      <c r="W44" s="1">
        <f>SUM(AC282:AC288)/7</f>
        <v>162965.62204055442</v>
      </c>
      <c r="X44" s="1">
        <f>SUM(AD282:AD288)/7</f>
        <v>434836.7173421316</v>
      </c>
      <c r="Z44" s="10">
        <f t="shared" si="18"/>
        <v>44199</v>
      </c>
      <c r="AA44" s="1">
        <f>AI44*AI$3*2</f>
        <v>1689004</v>
      </c>
      <c r="AB44" s="1">
        <f t="shared" si="19"/>
        <v>335578.42857142858</v>
      </c>
      <c r="AC44" s="1">
        <f t="shared" si="20"/>
        <v>172817.36865477671</v>
      </c>
      <c r="AD44" s="1">
        <f t="shared" si="21"/>
        <v>6561950.7322182488</v>
      </c>
      <c r="AF44" s="10">
        <f t="shared" si="24"/>
        <v>44199</v>
      </c>
      <c r="AG44" s="6">
        <f t="shared" si="25"/>
        <v>0.30877513908002757</v>
      </c>
      <c r="AH44" s="6">
        <f t="shared" si="26"/>
        <v>0.94432588272259099</v>
      </c>
      <c r="AI44" s="6">
        <f>V$10/V$57*AI$4</f>
        <v>0.99094614472322218</v>
      </c>
      <c r="AJ44" s="1"/>
    </row>
    <row r="45" spans="2:36" ht="15.6">
      <c r="B45" s="2">
        <f t="shared" si="0"/>
        <v>44200</v>
      </c>
      <c r="C45" s="1">
        <f>+C46+9847</f>
        <v>1775513</v>
      </c>
      <c r="D45" s="1">
        <f>+D46+302</f>
        <v>34574</v>
      </c>
      <c r="E45" s="1">
        <f>+E46+100*193</f>
        <v>1401200</v>
      </c>
      <c r="F45" s="1">
        <f>+A!C45-A!D45-A!E45</f>
        <v>339739</v>
      </c>
      <c r="G45" s="1"/>
      <c r="H45" s="4">
        <f>SUM(A!J45:J51)/7*1000000/A!H$3-SUM(A!F45:F51)/7*(1-A!N$3)</f>
        <v>159283.65936507942</v>
      </c>
      <c r="I45" s="7">
        <f>SUM(A!F42:F48)/7</f>
        <v>339156.28571428574</v>
      </c>
      <c r="J45" s="1">
        <v>5744</v>
      </c>
      <c r="K45" s="1">
        <v>207</v>
      </c>
      <c r="L45" s="1"/>
      <c r="M45" s="4">
        <f>A!D45-A!D46</f>
        <v>302</v>
      </c>
      <c r="N45" s="11">
        <f>SUM(A!P45:P51)/7*A!N$3</f>
        <v>353.36857142857144</v>
      </c>
      <c r="O45" s="4">
        <f>(SUM(A!M30:M36)/A!O$3*1000-SUM(A!P42:P48))/7+A!N44</f>
        <v>300321.39788096113</v>
      </c>
      <c r="P45" s="4">
        <f t="shared" si="23"/>
        <v>9847</v>
      </c>
      <c r="Q45" s="1">
        <f>SUM(A!P42:P48)/7</f>
        <v>16471.571428571428</v>
      </c>
      <c r="S45" s="2">
        <f>A!B291</f>
        <v>43954</v>
      </c>
      <c r="T45" s="1">
        <f>+A!U45-A!U46</f>
        <v>8321</v>
      </c>
      <c r="U45" s="1">
        <f>A!C291</f>
        <v>162496</v>
      </c>
      <c r="V45" s="1">
        <v>326788</v>
      </c>
      <c r="W45" s="1">
        <f>SUM(AC289:AC295)/7</f>
        <v>196582.15628039968</v>
      </c>
      <c r="X45" s="1">
        <f>SUM(AD289:AD295)/7</f>
        <v>725152.98308652942</v>
      </c>
      <c r="Z45" s="10">
        <f t="shared" si="18"/>
        <v>44198</v>
      </c>
      <c r="AA45" s="1">
        <f>AI45*AI$3*2</f>
        <v>1689004</v>
      </c>
      <c r="AB45" s="1">
        <f t="shared" si="19"/>
        <v>339156.28571428574</v>
      </c>
      <c r="AC45" s="1">
        <f t="shared" si="20"/>
        <v>165393.26526332129</v>
      </c>
      <c r="AD45" s="1">
        <f t="shared" si="21"/>
        <v>6701893.4840094345</v>
      </c>
      <c r="AF45" s="10">
        <f t="shared" si="24"/>
        <v>44198</v>
      </c>
      <c r="AG45" s="6">
        <f t="shared" si="25"/>
        <v>0.29759890770910769</v>
      </c>
      <c r="AH45" s="6">
        <f t="shared" si="26"/>
        <v>0.94495890471973287</v>
      </c>
      <c r="AI45" s="6">
        <f>V$10/V$57*AI$4</f>
        <v>0.99094614472322218</v>
      </c>
      <c r="AJ45" s="1"/>
    </row>
    <row r="46" spans="2:36" ht="15.6">
      <c r="B46" s="2">
        <f t="shared" si="0"/>
        <v>44199</v>
      </c>
      <c r="C46" s="1">
        <f>+C47+10315</f>
        <v>1765666</v>
      </c>
      <c r="D46" s="1">
        <f>+D47+312</f>
        <v>34272</v>
      </c>
      <c r="E46" s="1">
        <f>+E47+100*146</f>
        <v>1381900</v>
      </c>
      <c r="F46" s="1">
        <f>+A!C46-A!D46-A!E46</f>
        <v>349494</v>
      </c>
      <c r="G46" s="1"/>
      <c r="H46" s="4">
        <f>SUM(A!J46:J52)/7*1000000/A!H$3-SUM(A!F46:F52)/7*(1-A!N$3)</f>
        <v>153739.33269841271</v>
      </c>
      <c r="I46" s="7">
        <f>SUM(A!F43:F49)/7</f>
        <v>344161.28571428574</v>
      </c>
      <c r="J46" s="1">
        <v>5762</v>
      </c>
      <c r="K46" s="1">
        <v>182</v>
      </c>
      <c r="L46" s="1"/>
      <c r="M46" s="4">
        <f>A!D46-A!D47</f>
        <v>312</v>
      </c>
      <c r="N46" s="11">
        <f>SUM(A!P46:P52)/7*A!N$3</f>
        <v>356.59428571428572</v>
      </c>
      <c r="O46" s="4">
        <f>(SUM(A!M31:M37)/A!O$3*1000-SUM(A!P43:P49))/7+A!N45</f>
        <v>294314.01360100508</v>
      </c>
      <c r="P46" s="4">
        <f t="shared" si="23"/>
        <v>10315</v>
      </c>
      <c r="Q46" s="1">
        <f>SUM(A!P43:P49)/7</f>
        <v>17351.714285714286</v>
      </c>
      <c r="S46" s="2">
        <f>A!B298</f>
        <v>43947</v>
      </c>
      <c r="T46" s="1">
        <f>+A!U46-A!U47</f>
        <v>14278</v>
      </c>
      <c r="U46" s="1">
        <f>A!C298</f>
        <v>154175</v>
      </c>
      <c r="V46" s="1">
        <v>363890</v>
      </c>
      <c r="W46" s="1">
        <f>SUM(AC296:AC302)/7</f>
        <v>30949.821669982066</v>
      </c>
      <c r="X46" s="1">
        <f>SUM(AD296:AD302)/7</f>
        <v>117158.4956284174</v>
      </c>
      <c r="Z46" s="10">
        <f t="shared" si="18"/>
        <v>44197</v>
      </c>
      <c r="AA46" s="1">
        <f>AI46*AI$3*2</f>
        <v>1689004</v>
      </c>
      <c r="AB46" s="1">
        <f t="shared" si="19"/>
        <v>344161.28571428574</v>
      </c>
      <c r="AC46" s="1">
        <f t="shared" si="20"/>
        <v>159384.41211242339</v>
      </c>
      <c r="AD46" s="1">
        <f t="shared" si="21"/>
        <v>6739067.2115658158</v>
      </c>
      <c r="AF46" s="10">
        <f t="shared" si="24"/>
        <v>44197</v>
      </c>
      <c r="AG46" s="6">
        <f t="shared" si="25"/>
        <v>0.28774959209724604</v>
      </c>
      <c r="AH46" s="6">
        <f t="shared" si="26"/>
        <v>0.9446960505657982</v>
      </c>
      <c r="AI46" s="6">
        <f>V$10/V$57*AI$4</f>
        <v>0.99094614472322218</v>
      </c>
      <c r="AJ46" s="1"/>
    </row>
    <row r="47" spans="2:36" ht="15.6">
      <c r="B47" s="2">
        <f t="shared" si="0"/>
        <v>44198</v>
      </c>
      <c r="C47" s="1">
        <f>+C48+12690</f>
        <v>1755351</v>
      </c>
      <c r="D47" s="1">
        <f>+D48+336</f>
        <v>33960</v>
      </c>
      <c r="E47" s="1">
        <f>+E48+100*173</f>
        <v>1367300</v>
      </c>
      <c r="F47" s="1">
        <f>+A!C47-A!D47-A!E47</f>
        <v>354091</v>
      </c>
      <c r="G47" s="1"/>
      <c r="H47" s="4">
        <f>SUM(A!J47:J53)/7*1000000/A!H$3-SUM(A!F47:F53)/7*(1-A!N$3)</f>
        <v>147715.61015873024</v>
      </c>
      <c r="I47" s="7">
        <f>SUM(A!F44:F50)/7</f>
        <v>348642.42857142858</v>
      </c>
      <c r="J47" s="1">
        <v>5726</v>
      </c>
      <c r="K47" s="1">
        <v>152</v>
      </c>
      <c r="L47" s="1"/>
      <c r="M47" s="4">
        <f>A!D47-A!D48</f>
        <v>336</v>
      </c>
      <c r="N47" s="11">
        <f>SUM(A!P47:P53)/7*A!N$3</f>
        <v>366.4228571428572</v>
      </c>
      <c r="O47" s="4">
        <f>(SUM(A!M32:M38)/A!O$3*1000-SUM(A!P44:P50))/7+A!N46</f>
        <v>300895.53392870229</v>
      </c>
      <c r="P47" s="4">
        <f t="shared" si="23"/>
        <v>12690</v>
      </c>
      <c r="Q47" s="1">
        <f>SUM(A!P44:P50)/7</f>
        <v>17526.285714285714</v>
      </c>
      <c r="S47" s="2">
        <f>A!B305</f>
        <v>43940</v>
      </c>
      <c r="T47" s="1">
        <f>+A!U47-A!U48</f>
        <v>19418</v>
      </c>
      <c r="U47" s="1">
        <f>A!C305</f>
        <v>139897</v>
      </c>
      <c r="V47" s="1">
        <v>331902</v>
      </c>
      <c r="Z47" s="10">
        <f t="shared" si="18"/>
        <v>44196</v>
      </c>
      <c r="AA47" s="1">
        <f>AI47*AI$3*2</f>
        <v>1689004</v>
      </c>
      <c r="AB47" s="1">
        <f t="shared" si="19"/>
        <v>348642.42857142858</v>
      </c>
      <c r="AC47" s="1">
        <f t="shared" si="20"/>
        <v>153826.62742650343</v>
      </c>
      <c r="AD47" s="1">
        <f t="shared" si="21"/>
        <v>6879413.6967196846</v>
      </c>
      <c r="AF47" s="10">
        <f t="shared" si="24"/>
        <v>44196</v>
      </c>
      <c r="AG47" s="6">
        <f t="shared" si="25"/>
        <v>0.27801442373312296</v>
      </c>
      <c r="AH47" s="6">
        <f t="shared" si="26"/>
        <v>0.94511831173925454</v>
      </c>
      <c r="AI47" s="6">
        <f>V$10/V$57*AI$4</f>
        <v>0.99094614472322218</v>
      </c>
      <c r="AJ47" s="1"/>
    </row>
    <row r="48" spans="2:36" ht="15.6">
      <c r="B48" s="2">
        <f t="shared" si="0"/>
        <v>44197</v>
      </c>
      <c r="C48" s="1">
        <f>+C49+22924</f>
        <v>1742661</v>
      </c>
      <c r="D48" s="1">
        <f>+D49+553</f>
        <v>33624</v>
      </c>
      <c r="E48" s="1">
        <f>+E49+100*218</f>
        <v>1350000</v>
      </c>
      <c r="F48" s="1">
        <f>+A!C48-A!D48-A!E48</f>
        <v>359037</v>
      </c>
      <c r="G48" s="1"/>
      <c r="H48" s="4">
        <f>SUM(A!J48:J54)/7*1000000/A!H$3-SUM(A!F48:F54)/7*(1-A!N$3)</f>
        <v>142505.61333333328</v>
      </c>
      <c r="I48" s="7">
        <f>SUM(A!F45:F51)/7</f>
        <v>352736.14285714284</v>
      </c>
      <c r="J48" s="1">
        <f>+J47-128</f>
        <v>5598</v>
      </c>
      <c r="K48" s="1">
        <v>166</v>
      </c>
      <c r="L48" s="1"/>
      <c r="M48" s="4">
        <f>A!D48-A!D49</f>
        <v>553</v>
      </c>
      <c r="N48" s="11">
        <f>SUM(A!P48:P54)/7*A!N$3</f>
        <v>371.46571428571428</v>
      </c>
      <c r="O48" s="4">
        <f>(SUM(A!M33:M39)/A!O$3*1000-SUM(A!P45:P51))/7+A!N47</f>
        <v>301810.17561848921</v>
      </c>
      <c r="P48" s="4">
        <f t="shared" si="23"/>
        <v>22924</v>
      </c>
      <c r="Q48" s="1">
        <f>SUM(A!P45:P51)/7</f>
        <v>17668.428571428572</v>
      </c>
      <c r="S48" s="2">
        <f>A!B312</f>
        <v>43933</v>
      </c>
      <c r="T48" s="1">
        <f>+A!U48-A!U49</f>
        <v>28765</v>
      </c>
      <c r="U48" s="1">
        <f>A!C312</f>
        <v>120479</v>
      </c>
      <c r="V48" s="1">
        <v>380197</v>
      </c>
      <c r="Z48" s="10">
        <f t="shared" si="18"/>
        <v>44195</v>
      </c>
      <c r="AA48" s="1">
        <f>AI48*AI$3*2</f>
        <v>1689004</v>
      </c>
      <c r="AB48" s="1">
        <f t="shared" si="19"/>
        <v>352736.14285714284</v>
      </c>
      <c r="AC48" s="1">
        <f t="shared" si="20"/>
        <v>147912.94872350001</v>
      </c>
      <c r="AD48" s="1">
        <f t="shared" si="21"/>
        <v>6863912.8136174362</v>
      </c>
      <c r="AF48" s="10">
        <f t="shared" si="24"/>
        <v>44195</v>
      </c>
      <c r="AG48" s="6">
        <f t="shared" si="25"/>
        <v>0.26750467041430337</v>
      </c>
      <c r="AH48" s="6">
        <f t="shared" si="26"/>
        <v>0.94428028938689479</v>
      </c>
      <c r="AI48" s="6">
        <f>V$10/V$57*AI$4</f>
        <v>0.99094614472322218</v>
      </c>
      <c r="AJ48" s="1"/>
    </row>
    <row r="49" spans="2:37" ht="15.6">
      <c r="B49" s="2">
        <f t="shared" si="0"/>
        <v>44196</v>
      </c>
      <c r="C49" s="1">
        <f>+C50+32552</f>
        <v>1719737</v>
      </c>
      <c r="D49" s="1">
        <f>+D50+964</f>
        <v>33071</v>
      </c>
      <c r="E49" s="1">
        <f>+E50+100*256</f>
        <v>1328200</v>
      </c>
      <c r="F49" s="1">
        <f>+A!C49-A!D49-A!E49</f>
        <v>358466</v>
      </c>
      <c r="G49" s="1"/>
      <c r="H49" s="4">
        <f>SUM(A!J49:J55)/7*1000000/A!H$3-SUM(A!F49:F55)/7*(1-A!N$3)</f>
        <v>137272.88666666666</v>
      </c>
      <c r="I49" s="7">
        <f>SUM(A!F46:F52)/7</f>
        <v>356488.85714285716</v>
      </c>
      <c r="J49" s="1">
        <f>+J50-9</f>
        <v>5639</v>
      </c>
      <c r="K49" s="1">
        <v>275</v>
      </c>
      <c r="L49" s="1"/>
      <c r="M49" s="4">
        <f>A!D49-A!D50</f>
        <v>964</v>
      </c>
      <c r="N49" s="11">
        <f>SUM(A!P49:P55)/7*A!N$3</f>
        <v>378.92</v>
      </c>
      <c r="O49" s="4">
        <f>(SUM(A!M34:M40)/A!O$3*1000-SUM(A!P46:P52))/7+A!N48</f>
        <v>307045.75603517774</v>
      </c>
      <c r="P49" s="4">
        <f t="shared" si="23"/>
        <v>32552</v>
      </c>
      <c r="Q49" s="1">
        <f>SUM(A!P46:P52)/7</f>
        <v>17829.714285714286</v>
      </c>
      <c r="S49" s="2">
        <f>A!B319</f>
        <v>43926</v>
      </c>
      <c r="T49" s="1">
        <f>+A!U49-A!U50</f>
        <v>39167</v>
      </c>
      <c r="U49" s="1">
        <f>A!C319</f>
        <v>91714</v>
      </c>
      <c r="V49" s="1">
        <v>408348</v>
      </c>
      <c r="Z49" s="10">
        <f t="shared" si="18"/>
        <v>44194</v>
      </c>
      <c r="AA49" s="1">
        <f>AI49*AI$3*2</f>
        <v>1689004</v>
      </c>
      <c r="AB49" s="1">
        <f t="shared" si="19"/>
        <v>356488.85714285716</v>
      </c>
      <c r="AC49" s="1">
        <f t="shared" si="20"/>
        <v>140464.23350361254</v>
      </c>
      <c r="AD49" s="1">
        <f t="shared" si="21"/>
        <v>6646816.3427504217</v>
      </c>
      <c r="AF49" s="10">
        <f t="shared" si="24"/>
        <v>44194</v>
      </c>
      <c r="AG49" s="6">
        <f t="shared" si="25"/>
        <v>0.25518724579626051</v>
      </c>
      <c r="AH49" s="6">
        <f t="shared" si="26"/>
        <v>0.94190392130638778</v>
      </c>
      <c r="AI49" s="6">
        <f>V$10/V$57*AI$4</f>
        <v>0.99094614472322218</v>
      </c>
      <c r="AJ49" s="1"/>
    </row>
    <row r="50" spans="2:37" ht="15.6">
      <c r="B50" s="2">
        <f t="shared" si="0"/>
        <v>44195</v>
      </c>
      <c r="C50" s="1">
        <f>+C51+22459</f>
        <v>1687185</v>
      </c>
      <c r="D50" s="1">
        <f>+D51+1129</f>
        <v>32107</v>
      </c>
      <c r="E50" s="1">
        <f>+E51+100*247</f>
        <v>1302600</v>
      </c>
      <c r="F50" s="1">
        <f>+A!C50-A!D50-A!E50</f>
        <v>352478</v>
      </c>
      <c r="G50" s="1"/>
      <c r="H50" s="4">
        <f>SUM(A!J50:J56)/7*1000000/A!H$3-SUM(A!F50:F56)/7*(1-A!N$3)</f>
        <v>131486.77904761914</v>
      </c>
      <c r="I50" s="7">
        <f>SUM(A!F47:F53)/7</f>
        <v>360044</v>
      </c>
      <c r="J50" s="1">
        <v>5648</v>
      </c>
      <c r="K50" s="1">
        <v>267</v>
      </c>
      <c r="L50" s="1"/>
      <c r="M50" s="4">
        <f>A!D50-A!D51</f>
        <v>1129</v>
      </c>
      <c r="N50" s="11">
        <f>SUM(A!P50:P56)/7*A!N$3</f>
        <v>377.90000000000003</v>
      </c>
      <c r="O50" s="4">
        <f>(SUM(A!M35:M41)/A!O$3*1000-SUM(A!P47:P53))/7+A!N49</f>
        <v>310487.866657593</v>
      </c>
      <c r="P50" s="4">
        <f t="shared" si="23"/>
        <v>22459</v>
      </c>
      <c r="Q50" s="1">
        <f>SUM(A!P47:P53)/7</f>
        <v>18321.142857142859</v>
      </c>
      <c r="S50" s="2">
        <f>A!B326</f>
        <v>43919</v>
      </c>
      <c r="T50" s="1">
        <f>+A!U50-A!U51</f>
        <v>33937</v>
      </c>
      <c r="U50" s="1">
        <f>A!C326</f>
        <v>52547</v>
      </c>
      <c r="V50" s="1">
        <v>361515</v>
      </c>
      <c r="Z50" s="10">
        <f t="shared" si="18"/>
        <v>44193</v>
      </c>
      <c r="AA50" s="1">
        <f>AI50*AI$3*2</f>
        <v>1689004</v>
      </c>
      <c r="AB50" s="1">
        <f t="shared" si="19"/>
        <v>360044</v>
      </c>
      <c r="AC50" s="1">
        <f t="shared" si="20"/>
        <v>132745.05858071276</v>
      </c>
      <c r="AD50" s="1">
        <f t="shared" si="21"/>
        <v>6516825.5173288807</v>
      </c>
      <c r="AF50" s="10">
        <f t="shared" si="24"/>
        <v>44193</v>
      </c>
      <c r="AG50" s="6">
        <f t="shared" si="25"/>
        <v>0.2430271579179884</v>
      </c>
      <c r="AH50" s="6">
        <f t="shared" si="26"/>
        <v>0.94033878286545991</v>
      </c>
      <c r="AI50" s="6">
        <f>V$10/V$57*AI$4</f>
        <v>0.99094614472322218</v>
      </c>
      <c r="AJ50" s="1" t="str">
        <f>AJ43</f>
        <v>x</v>
      </c>
    </row>
    <row r="51" spans="2:37" ht="15.6">
      <c r="B51" s="2">
        <f t="shared" si="0"/>
        <v>44194</v>
      </c>
      <c r="C51" s="1">
        <f>+C52+12892</f>
        <v>1664726</v>
      </c>
      <c r="D51" s="1">
        <f>+D52+852</f>
        <v>30978</v>
      </c>
      <c r="E51" s="1">
        <f>+E52+100*222</f>
        <v>1277900</v>
      </c>
      <c r="F51" s="1">
        <f>+A!C51-A!D51-A!E51</f>
        <v>355848</v>
      </c>
      <c r="G51" s="1"/>
      <c r="H51" s="4">
        <f>SUM(A!J51:J57)/7*1000000/A!H$3-SUM(A!F51:F57)/7*(1-A!N$3)</f>
        <v>124331.56190476194</v>
      </c>
      <c r="I51" s="7">
        <f>SUM(A!F48:F54)/7</f>
        <v>362885.42857142858</v>
      </c>
      <c r="J51" s="1">
        <v>5649</v>
      </c>
      <c r="K51" s="1">
        <v>258</v>
      </c>
      <c r="L51" s="1"/>
      <c r="M51" s="4">
        <f>A!D51-A!D52</f>
        <v>852</v>
      </c>
      <c r="N51" s="11">
        <f>SUM(A!P51:P57)/7*A!N$3</f>
        <v>384.41714285714284</v>
      </c>
      <c r="O51" s="4">
        <f>(SUM(A!M36:M42)/A!O$3*1000-SUM(A!P48:P54))/7+A!N50</f>
        <v>301126.18681358948</v>
      </c>
      <c r="P51" s="4">
        <f t="shared" si="23"/>
        <v>12892</v>
      </c>
      <c r="Q51" s="1">
        <f>SUM(A!P48:P54)/7</f>
        <v>18573.285714285714</v>
      </c>
      <c r="S51" s="2">
        <f>A!B333</f>
        <v>43912</v>
      </c>
      <c r="T51" s="1">
        <f>+A!U51-A!U52</f>
        <v>13772</v>
      </c>
      <c r="U51" s="1">
        <f>A!C333</f>
        <v>18610</v>
      </c>
      <c r="V51" s="1">
        <v>348619</v>
      </c>
      <c r="Z51" s="10">
        <f t="shared" si="18"/>
        <v>44192</v>
      </c>
      <c r="AA51" s="1">
        <f>AI51*AI$3*2</f>
        <v>2182964</v>
      </c>
      <c r="AB51" s="1">
        <f t="shared" si="19"/>
        <v>362885.42857142858</v>
      </c>
      <c r="AC51" s="1">
        <f t="shared" si="20"/>
        <v>126347.60483040033</v>
      </c>
      <c r="AD51" s="1">
        <f t="shared" si="21"/>
        <v>6649706.0289522139</v>
      </c>
      <c r="AF51" s="10">
        <f t="shared" si="24"/>
        <v>44192</v>
      </c>
      <c r="AG51" s="6">
        <f t="shared" si="25"/>
        <v>0.23262332385388287</v>
      </c>
      <c r="AH51" s="6">
        <f t="shared" si="26"/>
        <v>0.94101821200320024</v>
      </c>
      <c r="AI51" s="6">
        <f>V$11/V$57*AI$4</f>
        <v>1.2807546695387246</v>
      </c>
      <c r="AJ51" s="1"/>
    </row>
    <row r="52" spans="2:37" ht="15.6">
      <c r="B52" s="2">
        <f t="shared" si="0"/>
        <v>44193</v>
      </c>
      <c r="C52" s="1">
        <f>+C53+10976</f>
        <v>1651834</v>
      </c>
      <c r="D52" s="1">
        <f>+D53+348</f>
        <v>30126</v>
      </c>
      <c r="E52" s="1">
        <f>+E53+100*190</f>
        <v>1255700</v>
      </c>
      <c r="F52" s="1">
        <f>+A!C52-A!D52-A!E52</f>
        <v>366008</v>
      </c>
      <c r="G52" s="1"/>
      <c r="H52" s="4">
        <f>SUM(A!J52:J58)/7*1000000/A!H$3-SUM(A!F52:F58)/7*(1-A!N$3)</f>
        <v>117345.5092063492</v>
      </c>
      <c r="I52" s="7">
        <f>SUM(A!F49:F55)/7</f>
        <v>365503.85714285716</v>
      </c>
      <c r="J52" s="1">
        <f>+J53+35</f>
        <v>5597</v>
      </c>
      <c r="K52" s="1">
        <v>263</v>
      </c>
      <c r="L52" s="1"/>
      <c r="M52" s="4">
        <f>A!D52-A!D53</f>
        <v>348</v>
      </c>
      <c r="N52" s="11">
        <f>SUM(A!P52:P58)/7*A!N$3</f>
        <v>403.37714285714281</v>
      </c>
      <c r="O52" s="4">
        <f>(SUM(A!M37:M43)/A!O$3*1000-SUM(A!P49:P55))/7+A!N51</f>
        <v>298613.72992095479</v>
      </c>
      <c r="P52" s="4">
        <f t="shared" si="23"/>
        <v>10976</v>
      </c>
      <c r="Q52" s="1">
        <f>SUM(A!P49:P55)/7</f>
        <v>18946</v>
      </c>
      <c r="S52" s="2">
        <f>A!B340</f>
        <v>43905</v>
      </c>
      <c r="U52" s="1">
        <f>A!C340</f>
        <v>4838</v>
      </c>
      <c r="V52" s="1">
        <v>127457</v>
      </c>
      <c r="Z52" s="10">
        <f t="shared" si="18"/>
        <v>44191</v>
      </c>
      <c r="AA52" s="1">
        <f>AI52*AI$3*2</f>
        <v>2182964</v>
      </c>
      <c r="AB52" s="1">
        <f t="shared" si="19"/>
        <v>365503.85714285716</v>
      </c>
      <c r="AC52" s="1">
        <f t="shared" si="20"/>
        <v>119125.16218460107</v>
      </c>
      <c r="AD52" s="1">
        <f t="shared" si="21"/>
        <v>6516846.0821088152</v>
      </c>
      <c r="AF52" s="10">
        <f t="shared" si="24"/>
        <v>44191</v>
      </c>
      <c r="AG52" s="6">
        <f t="shared" si="25"/>
        <v>0.221401767796888</v>
      </c>
      <c r="AH52" s="6">
        <f t="shared" si="26"/>
        <v>0.93959941982583994</v>
      </c>
      <c r="AI52" s="6">
        <f>V$11/V$57*AI$4</f>
        <v>1.2807546695387246</v>
      </c>
      <c r="AJ52" s="1"/>
    </row>
    <row r="53" spans="2:37" ht="15.6">
      <c r="B53" s="2">
        <f t="shared" si="0"/>
        <v>44192</v>
      </c>
      <c r="C53" s="1">
        <f>+C54+13755</f>
        <v>1640858</v>
      </c>
      <c r="D53" s="1">
        <f>+D54+356</f>
        <v>29778</v>
      </c>
      <c r="E53" s="1">
        <f>+E54+100*130</f>
        <v>1236700</v>
      </c>
      <c r="F53" s="1">
        <f>+A!C53-A!D53-A!E53</f>
        <v>374380</v>
      </c>
      <c r="G53" s="1"/>
      <c r="H53" s="4">
        <f>SUM(A!J53:J59)/7*1000000/A!H$3-SUM(A!F53:F59)/7*(1-A!N$3)</f>
        <v>111469.53174603177</v>
      </c>
      <c r="I53" s="7">
        <f>SUM(A!F50:F56)/7</f>
        <v>367715.14285714284</v>
      </c>
      <c r="J53" s="1">
        <v>5562</v>
      </c>
      <c r="K53" s="1">
        <v>222</v>
      </c>
      <c r="L53" s="1"/>
      <c r="M53" s="4">
        <f>A!D53-A!D54</f>
        <v>356</v>
      </c>
      <c r="N53" s="11">
        <f>SUM(A!P53:P59)/7*A!N$3</f>
        <v>419.56857142857143</v>
      </c>
      <c r="O53" s="4">
        <f>(SUM(A!M38:M44)/A!O$3*1000-SUM(A!P50:P56))/7+A!N52</f>
        <v>301458.12325603305</v>
      </c>
      <c r="P53" s="4">
        <f t="shared" si="23"/>
        <v>13755</v>
      </c>
      <c r="Q53" s="1">
        <f>SUM(A!P50:P56)/7</f>
        <v>18895</v>
      </c>
      <c r="S53" s="2">
        <f>A!B347</f>
        <v>43898</v>
      </c>
      <c r="U53" s="1"/>
      <c r="V53" s="1">
        <v>124716</v>
      </c>
      <c r="Z53" s="10">
        <f t="shared" si="18"/>
        <v>44190</v>
      </c>
      <c r="AA53" s="1">
        <f>AI53*AI$3*2</f>
        <v>2182964</v>
      </c>
      <c r="AB53" s="1">
        <f t="shared" si="19"/>
        <v>367715.14285714284</v>
      </c>
      <c r="AC53" s="1">
        <f t="shared" si="20"/>
        <v>112612.93810741061</v>
      </c>
      <c r="AD53" s="1">
        <f t="shared" si="21"/>
        <v>6042249.506043558</v>
      </c>
      <c r="AF53" s="10">
        <f t="shared" si="24"/>
        <v>44190</v>
      </c>
      <c r="AG53" s="6">
        <f t="shared" si="25"/>
        <v>0.21138620589698931</v>
      </c>
      <c r="AH53" s="6">
        <f t="shared" si="26"/>
        <v>0.93498941775681388</v>
      </c>
      <c r="AI53" s="6">
        <f>V$11/V$57*AI$4</f>
        <v>1.2807546695387246</v>
      </c>
      <c r="AJ53" s="1"/>
    </row>
    <row r="54" spans="2:37" ht="15.6">
      <c r="B54" s="2">
        <f t="shared" si="0"/>
        <v>44191</v>
      </c>
      <c r="C54" s="1">
        <f>+C55+14455</f>
        <v>1627103</v>
      </c>
      <c r="D54" s="1">
        <f>+D55+240</f>
        <v>29422</v>
      </c>
      <c r="E54" s="1">
        <f>+E55+100*176</f>
        <v>1223700</v>
      </c>
      <c r="F54" s="1">
        <f>+A!C54-A!D54-A!E54</f>
        <v>373981</v>
      </c>
      <c r="G54" s="1"/>
      <c r="H54" s="4">
        <f>SUM(A!J54:J60)/7*1000000/A!H$3-SUM(A!F54:F60)/7*(1-A!N$3)</f>
        <v>105147.18888888886</v>
      </c>
      <c r="I54" s="7">
        <f>SUM(A!F51:F57)/7</f>
        <v>369768.57142857142</v>
      </c>
      <c r="J54" s="1">
        <v>5535</v>
      </c>
      <c r="K54" s="1">
        <v>169</v>
      </c>
      <c r="L54" s="1"/>
      <c r="M54" s="4">
        <f>A!D54-A!D55</f>
        <v>240</v>
      </c>
      <c r="N54" s="11">
        <f>SUM(A!P54:P60)/7*A!N$3</f>
        <v>445.32857142857148</v>
      </c>
      <c r="O54" s="4">
        <f>(SUM(A!M39:M45)/A!O$3*1000-SUM(A!P51:P57))/7+A!N53</f>
        <v>299002.19779196981</v>
      </c>
      <c r="P54" s="4">
        <f t="shared" si="23"/>
        <v>14455</v>
      </c>
      <c r="Q54" s="1">
        <f>SUM(A!P51:P57)/7</f>
        <v>19220.857142857141</v>
      </c>
      <c r="Z54" s="10">
        <f t="shared" si="18"/>
        <v>44189</v>
      </c>
      <c r="AA54" s="1">
        <f>AI54*AI$3*2</f>
        <v>2182964</v>
      </c>
      <c r="AB54" s="1">
        <f t="shared" si="19"/>
        <v>369768.57142857142</v>
      </c>
      <c r="AC54" s="1">
        <f t="shared" si="20"/>
        <v>111018.48716215616</v>
      </c>
      <c r="AD54" s="1">
        <f t="shared" si="21"/>
        <v>5034564.1494849632</v>
      </c>
      <c r="AF54" s="10">
        <f t="shared" si="24"/>
        <v>44189</v>
      </c>
      <c r="AG54" s="6">
        <f t="shared" si="25"/>
        <v>0.20823495839360176</v>
      </c>
      <c r="AH54" s="6">
        <f t="shared" si="26"/>
        <v>0.92264132690866918</v>
      </c>
      <c r="AI54" s="6">
        <f>V$11/V$57*AI$4</f>
        <v>1.2807546695387246</v>
      </c>
      <c r="AJ54" s="1"/>
    </row>
    <row r="55" spans="2:37" ht="15.6">
      <c r="B55" s="2">
        <f t="shared" si="0"/>
        <v>44190</v>
      </c>
      <c r="C55" s="1">
        <f>+C56+25533</f>
        <v>1612648</v>
      </c>
      <c r="D55" s="1">
        <f>+D56+412</f>
        <v>29182</v>
      </c>
      <c r="E55" s="1">
        <f>+E56+100*217</f>
        <v>1206100</v>
      </c>
      <c r="F55" s="1">
        <f>+A!C55-A!D55-A!E55</f>
        <v>377366</v>
      </c>
      <c r="G55" s="1"/>
      <c r="H55" s="4">
        <f>SUM(A!J55:J61)/7*1000000/A!H$3-SUM(A!F55:F61)/7*(1-A!N$3)</f>
        <v>99522.554920635012</v>
      </c>
      <c r="I55" s="7">
        <f>SUM(A!F52:F58)/7</f>
        <v>371286.57142857142</v>
      </c>
      <c r="J55" s="1">
        <f>+J54-147</f>
        <v>5388</v>
      </c>
      <c r="K55" s="1">
        <v>164</v>
      </c>
      <c r="L55" s="1"/>
      <c r="M55" s="4">
        <f>A!D55-A!D56</f>
        <v>412</v>
      </c>
      <c r="N55" s="11">
        <f>SUM(A!P55:P61)/7*A!N$3</f>
        <v>493.45714285714286</v>
      </c>
      <c r="O55" s="4">
        <f>(SUM(A!M40:M46)/A!O$3*1000-SUM(A!P52:P58))/7+A!N54</f>
        <v>290070.74457938544</v>
      </c>
      <c r="P55" s="4">
        <f t="shared" si="23"/>
        <v>25533</v>
      </c>
      <c r="Q55" s="1">
        <f>SUM(A!P52:P58)/7</f>
        <v>20168.857142857141</v>
      </c>
      <c r="Z55" s="10">
        <f t="shared" si="18"/>
        <v>44188</v>
      </c>
      <c r="AA55" s="1">
        <f>AI55*AI$3*2</f>
        <v>2182964</v>
      </c>
      <c r="AB55" s="1">
        <f t="shared" si="19"/>
        <v>371286.57142857142</v>
      </c>
      <c r="AC55" s="1">
        <f t="shared" si="20"/>
        <v>110770.35404733145</v>
      </c>
      <c r="AD55" s="1">
        <f t="shared" si="21"/>
        <v>4107365.4833341106</v>
      </c>
      <c r="AF55" s="10">
        <f t="shared" si="24"/>
        <v>44188</v>
      </c>
      <c r="AG55" s="6">
        <f t="shared" si="25"/>
        <v>0.20713724359731231</v>
      </c>
      <c r="AH55" s="6">
        <f t="shared" si="26"/>
        <v>0.9064304567291448</v>
      </c>
      <c r="AI55" s="6">
        <f>V$11/V$57*AI$4</f>
        <v>1.2807546695387246</v>
      </c>
      <c r="AJ55" s="1"/>
    </row>
    <row r="56" spans="2:37" ht="15.6">
      <c r="B56" s="2">
        <f t="shared" si="0"/>
        <v>44189</v>
      </c>
      <c r="C56" s="1">
        <f>+C57+32195</f>
        <v>1587115</v>
      </c>
      <c r="D56" s="1">
        <f>+D57+802</f>
        <v>28770</v>
      </c>
      <c r="E56" s="1">
        <f>+E57+100*243</f>
        <v>1184400</v>
      </c>
      <c r="F56" s="1">
        <f>+A!C56-A!D56-A!E56</f>
        <v>373945</v>
      </c>
      <c r="G56" s="1"/>
      <c r="H56" s="4">
        <f>SUM(A!J56:J62)/7*1000000/A!H$3-SUM(A!F56:F62)/7*(1-A!N$3)</f>
        <v>97760.271111111157</v>
      </c>
      <c r="I56" s="7">
        <f>SUM(A!F53:F59)/7</f>
        <v>371710.71428571426</v>
      </c>
      <c r="J56" s="1">
        <f>+J57+111</f>
        <v>5354</v>
      </c>
      <c r="K56" s="1">
        <v>191</v>
      </c>
      <c r="L56" s="1"/>
      <c r="M56" s="4">
        <f>A!D56-A!D57</f>
        <v>802</v>
      </c>
      <c r="N56" s="11">
        <f>SUM(A!P56:P62)/7*A!N$3</f>
        <v>517.01142857142861</v>
      </c>
      <c r="O56" s="4">
        <f>(SUM(A!M41:M47)/A!O$3*1000-SUM(A!P53:P59))/7+A!N55</f>
        <v>250205.4960372716</v>
      </c>
      <c r="P56" s="4">
        <f t="shared" si="23"/>
        <v>32195</v>
      </c>
      <c r="Q56" s="1">
        <f>SUM(A!P53:P59)/7</f>
        <v>20978.428571428572</v>
      </c>
      <c r="Z56" s="10">
        <f t="shared" si="18"/>
        <v>44187</v>
      </c>
      <c r="AA56" s="1">
        <f>AI56*AI$3*2</f>
        <v>2182964</v>
      </c>
      <c r="AB56" s="1">
        <f t="shared" si="19"/>
        <v>371710.71428571426</v>
      </c>
      <c r="AC56" s="1">
        <f t="shared" si="20"/>
        <v>111395.30561407063</v>
      </c>
      <c r="AD56" s="1">
        <f t="shared" si="21"/>
        <v>3575266.1684362502</v>
      </c>
      <c r="AF56" s="10">
        <f t="shared" si="24"/>
        <v>44187</v>
      </c>
      <c r="AG56" s="6">
        <f t="shared" si="25"/>
        <v>0.20781032826004639</v>
      </c>
      <c r="AH56" s="6">
        <f t="shared" si="26"/>
        <v>0.8938357538618904</v>
      </c>
      <c r="AI56" s="6">
        <f>V$11/V$57*AI$4</f>
        <v>1.2807546695387246</v>
      </c>
      <c r="AJ56" s="1"/>
    </row>
    <row r="57" spans="2:37" ht="15.6">
      <c r="B57" s="2">
        <f t="shared" si="0"/>
        <v>44188</v>
      </c>
      <c r="C57" s="1">
        <f>+C58+24740</f>
        <v>1554920</v>
      </c>
      <c r="D57" s="1">
        <f>+D58+962</f>
        <v>27968</v>
      </c>
      <c r="E57" s="1">
        <f>+E58+100*234</f>
        <v>1160100</v>
      </c>
      <c r="F57" s="1">
        <f>+A!C57-A!D57-A!E57</f>
        <v>366852</v>
      </c>
      <c r="G57" s="1"/>
      <c r="H57" s="4">
        <f>SUM(A!J57:J63)/7*1000000/A!H$3-SUM(A!F57:F63)/7*(1-A!N$3)</f>
        <v>96967.721587301698</v>
      </c>
      <c r="I57" s="7">
        <f>SUM(A!F54:F60)/7</f>
        <v>371165</v>
      </c>
      <c r="J57" s="1">
        <v>5243</v>
      </c>
      <c r="K57" s="1">
        <v>297</v>
      </c>
      <c r="L57" s="1"/>
      <c r="M57" s="4">
        <f>A!D57-A!D58</f>
        <v>962</v>
      </c>
      <c r="N57" s="11">
        <f>SUM(A!P57:P63)/7*A!N$3</f>
        <v>501.94857142857148</v>
      </c>
      <c r="O57" s="4">
        <f>(SUM(A!M42:M48)/A!O$3*1000-SUM(A!P54:P60))/7+A!N56</f>
        <v>215700.19810082184</v>
      </c>
      <c r="P57" s="4">
        <f t="shared" si="23"/>
        <v>24740</v>
      </c>
      <c r="Q57" s="1">
        <f>SUM(A!P54:P60)/7</f>
        <v>22266.428571428572</v>
      </c>
      <c r="V57" s="1">
        <f>SUM(V5:V53)</f>
        <v>41758675</v>
      </c>
      <c r="Z57" s="10">
        <f t="shared" si="18"/>
        <v>44186</v>
      </c>
      <c r="AA57" s="1">
        <f>AI57*AI$3*2</f>
        <v>2182964</v>
      </c>
      <c r="AB57" s="1">
        <f t="shared" si="19"/>
        <v>371165</v>
      </c>
      <c r="AC57" s="1">
        <f t="shared" si="20"/>
        <v>111770.97414526659</v>
      </c>
      <c r="AD57" s="1">
        <f t="shared" si="21"/>
        <v>3471009.672016067</v>
      </c>
      <c r="AF57" s="10">
        <f t="shared" si="24"/>
        <v>44186</v>
      </c>
      <c r="AG57" s="6">
        <f t="shared" si="25"/>
        <v>0.20916066910066952</v>
      </c>
      <c r="AH57" s="6">
        <f t="shared" si="26"/>
        <v>0.891461449596752</v>
      </c>
      <c r="AI57" s="6">
        <f>V$11/V$57*AI$4</f>
        <v>1.2807546695387246</v>
      </c>
      <c r="AJ57" s="1" t="str">
        <f>AJ50</f>
        <v>x</v>
      </c>
    </row>
    <row r="58" spans="2:37" ht="15.6">
      <c r="B58" s="2">
        <f t="shared" si="0"/>
        <v>44187</v>
      </c>
      <c r="C58" s="1">
        <v>1530180</v>
      </c>
      <c r="D58" s="1">
        <f>+D59+731</f>
        <v>27006</v>
      </c>
      <c r="E58" s="1">
        <v>1136700</v>
      </c>
      <c r="F58" s="1">
        <f>+A!C58-A!D58-A!E58</f>
        <v>366474</v>
      </c>
      <c r="G58" s="1"/>
      <c r="H58" s="4">
        <f>SUM(A!J58:J64)/7*1000000/A!H$3-SUM(A!F58:F64)/7*(1-A!N$3)</f>
        <v>96845.207619047549</v>
      </c>
      <c r="I58" s="7">
        <f>SUM(A!F55:F61)/7</f>
        <v>369181.71428571426</v>
      </c>
      <c r="J58" s="1">
        <v>5216</v>
      </c>
      <c r="K58" s="1">
        <v>242</v>
      </c>
      <c r="L58" s="1"/>
      <c r="M58" s="4">
        <f>A!D58-A!D59</f>
        <v>731</v>
      </c>
      <c r="N58" s="11">
        <f>SUM(A!P58:P64)/7*A!N$3</f>
        <v>510.48571428571427</v>
      </c>
      <c r="O58" s="4">
        <f>(SUM(A!M43:M49)/A!O$3*1000-SUM(A!P55:P61))/7+A!N57</f>
        <v>207729.8400020939</v>
      </c>
      <c r="P58" s="4">
        <f t="shared" si="23"/>
        <v>19528</v>
      </c>
      <c r="Q58" s="1">
        <f>SUM(A!P55:P61)/7</f>
        <v>24672.857142857141</v>
      </c>
      <c r="Z58" s="10">
        <f t="shared" si="18"/>
        <v>44185</v>
      </c>
      <c r="AA58" s="1">
        <f>AI58*AI$3*2</f>
        <v>3344066.0000000005</v>
      </c>
      <c r="AB58" s="1">
        <f t="shared" si="19"/>
        <v>369181.71428571426</v>
      </c>
      <c r="AC58" s="1">
        <f t="shared" si="20"/>
        <v>111295.60541558941</v>
      </c>
      <c r="AD58" s="1">
        <f t="shared" si="21"/>
        <v>3472871.1987773874</v>
      </c>
      <c r="AF58" s="10">
        <f t="shared" si="24"/>
        <v>44185</v>
      </c>
      <c r="AG58" s="6">
        <f t="shared" si="25"/>
        <v>0.21005165300173842</v>
      </c>
      <c r="AH58" s="6">
        <f t="shared" si="26"/>
        <v>0.89244217383876046</v>
      </c>
      <c r="AI58" s="6">
        <f>V$12/V$57*AI$4</f>
        <v>1.9619783673691755</v>
      </c>
      <c r="AJ58" s="1"/>
    </row>
    <row r="59" spans="2:37" ht="15.6">
      <c r="B59" s="2">
        <f t="shared" si="0"/>
        <v>44186</v>
      </c>
      <c r="C59" s="1">
        <f>+C58-19528</f>
        <v>1510652</v>
      </c>
      <c r="D59" s="1">
        <f>+D60+226</f>
        <v>26275</v>
      </c>
      <c r="E59" s="1">
        <f>+E60+100*180</f>
        <v>1115400</v>
      </c>
      <c r="F59" s="1">
        <f>+A!C59-A!D59-A!E59</f>
        <v>368977</v>
      </c>
      <c r="G59" s="1"/>
      <c r="H59" s="4">
        <f>SUM(A!J59:J65)/7*1000000/A!H$3-SUM(A!F59:F65)/7*(1-A!N$3)</f>
        <v>96440.731111111119</v>
      </c>
      <c r="I59" s="7">
        <f>SUM(A!F56:F62)/7</f>
        <v>364643.71428571426</v>
      </c>
      <c r="J59" s="1">
        <f>+J60+145</f>
        <v>5167</v>
      </c>
      <c r="K59" s="1">
        <v>207</v>
      </c>
      <c r="L59" s="1"/>
      <c r="M59" s="4">
        <f>A!D59-A!D60</f>
        <v>226</v>
      </c>
      <c r="N59" s="11">
        <f>SUM(A!P59:P65)/7*A!N$3</f>
        <v>495.92571428571426</v>
      </c>
      <c r="O59" s="4">
        <f>(SUM(A!M44:M50)/A!O$3*1000-SUM(A!P56:P62))/7+A!N58</f>
        <v>212318.92072449354</v>
      </c>
      <c r="P59" s="4">
        <f t="shared" si="23"/>
        <v>16643</v>
      </c>
      <c r="Q59" s="1">
        <f>SUM(A!P56:P62)/7</f>
        <v>25850.571428571428</v>
      </c>
      <c r="Z59" s="10">
        <f t="shared" si="18"/>
        <v>44184</v>
      </c>
      <c r="AA59" s="1">
        <f>AI59*AI$3*2</f>
        <v>3344066.0000000005</v>
      </c>
      <c r="AB59" s="1">
        <f t="shared" si="19"/>
        <v>364643.71428571426</v>
      </c>
      <c r="AC59" s="1">
        <f t="shared" si="20"/>
        <v>110754.7897991814</v>
      </c>
      <c r="AD59" s="1">
        <f t="shared" si="21"/>
        <v>3934705.3821856319</v>
      </c>
      <c r="AF59" s="10">
        <f t="shared" si="15"/>
        <v>44184</v>
      </c>
      <c r="AG59" s="6">
        <f t="shared" si="16"/>
        <v>0.21169737432633187</v>
      </c>
      <c r="AH59" s="6">
        <f t="shared" si="17"/>
        <v>0.90512805075784142</v>
      </c>
      <c r="AI59" s="6">
        <f>V$12/V$57*AI$4</f>
        <v>1.9619783673691755</v>
      </c>
      <c r="AJ59" s="1"/>
    </row>
    <row r="60" spans="2:37" ht="15.6">
      <c r="B60" s="2">
        <f t="shared" si="0"/>
        <v>44185</v>
      </c>
      <c r="C60" s="1">
        <f>+C61+22771</f>
        <v>1494009</v>
      </c>
      <c r="D60" s="1">
        <f>+D61+409</f>
        <v>26049</v>
      </c>
      <c r="E60" s="1">
        <f>+E61+100*119</f>
        <v>1097400</v>
      </c>
      <c r="F60" s="1">
        <f>+A!C60-A!D60-A!E60</f>
        <v>370560</v>
      </c>
      <c r="G60" s="1"/>
      <c r="H60" s="4">
        <f>SUM(A!J60:J66)/7*1000000/A!H$3-SUM(A!F60:F66)/7*(1-A!N$3)</f>
        <v>95459.979999999981</v>
      </c>
      <c r="I60" s="7">
        <f>SUM(A!F57:F63)/7</f>
        <v>358999.57142857142</v>
      </c>
      <c r="J60" s="1">
        <v>5022</v>
      </c>
      <c r="K60" s="1">
        <v>161</v>
      </c>
      <c r="L60" s="1"/>
      <c r="M60" s="4">
        <f>A!D60-A!D61</f>
        <v>409</v>
      </c>
      <c r="N60" s="11">
        <f>SUM(A!P60:P66)/7*A!N$3</f>
        <v>495.12285714285719</v>
      </c>
      <c r="O60" s="4">
        <f>(SUM(A!M45:M51)/A!O$3*1000-SUM(A!P57:P63))/7+A!N59</f>
        <v>208241.50609433075</v>
      </c>
      <c r="P60" s="4">
        <f t="shared" si="23"/>
        <v>22771</v>
      </c>
      <c r="Q60" s="1">
        <f>SUM(A!P57:P63)/7</f>
        <v>25097.428571428572</v>
      </c>
      <c r="Z60" s="10">
        <f t="shared" si="18"/>
        <v>44183</v>
      </c>
      <c r="AA60" s="1">
        <f>AI60*AI$3*2</f>
        <v>3344066.0000000005</v>
      </c>
      <c r="AB60" s="1">
        <f t="shared" si="19"/>
        <v>358999.57142857142</v>
      </c>
      <c r="AC60" s="1">
        <f t="shared" si="20"/>
        <v>110583.34071473707</v>
      </c>
      <c r="AD60" s="1">
        <f t="shared" si="21"/>
        <v>4063269.069772623</v>
      </c>
      <c r="AF60" s="10">
        <f t="shared" si="15"/>
        <v>44183</v>
      </c>
      <c r="AG60" s="6">
        <f t="shared" si="16"/>
        <v>0.21395981875295669</v>
      </c>
      <c r="AH60" s="6">
        <f t="shared" si="17"/>
        <v>0.90910486648760469</v>
      </c>
      <c r="AI60" s="6">
        <f>V$12/V$57*AI$4</f>
        <v>1.9619783673691755</v>
      </c>
      <c r="AJ60" s="1"/>
      <c r="AK60" s="6" t="s">
        <v>22</v>
      </c>
    </row>
    <row r="61" spans="2:37" ht="15.6">
      <c r="B61" s="2">
        <f t="shared" si="0"/>
        <v>44184</v>
      </c>
      <c r="C61" s="1">
        <f>+C62+31300</f>
        <v>1471238</v>
      </c>
      <c r="D61" s="1">
        <f>+D62+702</f>
        <v>25640</v>
      </c>
      <c r="E61" s="1">
        <f>+E62+100*161</f>
        <v>1085500</v>
      </c>
      <c r="F61" s="1">
        <f>+A!C61-A!D61-A!E61</f>
        <v>360098</v>
      </c>
      <c r="G61" s="1"/>
      <c r="H61" s="4">
        <f>SUM(A!J61:J67)/7*1000000/A!H$3-SUM(A!F61:F67)/7*(1-A!N$3)</f>
        <v>95026.066031746101</v>
      </c>
      <c r="I61" s="7">
        <f>SUM(A!F58:F64)/7</f>
        <v>353850.85714285716</v>
      </c>
      <c r="J61" s="1">
        <v>4939</v>
      </c>
      <c r="K61" s="1">
        <v>154</v>
      </c>
      <c r="L61" s="1"/>
      <c r="M61" s="4">
        <f>A!D61-A!D62</f>
        <v>702</v>
      </c>
      <c r="N61" s="11">
        <f>SUM(A!P61:P67)/7*A!N$3</f>
        <v>487.77714285714285</v>
      </c>
      <c r="O61" s="4">
        <f>(SUM(A!M21:M27)/A!O$3*1000-SUM(A!P58:P64))/7+A!N60</f>
        <v>243515.04485892266</v>
      </c>
      <c r="P61" s="4">
        <f t="shared" si="1"/>
        <v>31300</v>
      </c>
      <c r="Q61" s="1">
        <f>SUM(A!P58:P64)/7</f>
        <v>25524.285714285714</v>
      </c>
      <c r="Z61" s="10">
        <f t="shared" si="18"/>
        <v>44182</v>
      </c>
      <c r="AA61" s="1">
        <f>AI61*AI$3*2</f>
        <v>3344066.0000000005</v>
      </c>
      <c r="AB61" s="1">
        <f t="shared" si="19"/>
        <v>353850.85714285716</v>
      </c>
      <c r="AC61" s="1">
        <f t="shared" si="20"/>
        <v>109771.30558340512</v>
      </c>
      <c r="AD61" s="1">
        <f t="shared" si="21"/>
        <v>4152071.2640517992</v>
      </c>
      <c r="AF61" s="10">
        <f t="shared" si="15"/>
        <v>44182</v>
      </c>
      <c r="AG61" s="6">
        <f t="shared" si="16"/>
        <v>0.2151721488836372</v>
      </c>
      <c r="AH61" s="6">
        <f t="shared" si="17"/>
        <v>0.91205088954073532</v>
      </c>
      <c r="AI61" s="6">
        <f>V$12/V$57*AI$4</f>
        <v>1.9619783673691755</v>
      </c>
      <c r="AJ61" s="1"/>
    </row>
    <row r="62" spans="2:37" ht="15.6">
      <c r="B62" s="2">
        <f t="shared" si="0"/>
        <v>44183</v>
      </c>
      <c r="C62" s="1">
        <f>+C63+33777</f>
        <v>1439938</v>
      </c>
      <c r="D62" s="1">
        <f>+D63+813</f>
        <v>24938</v>
      </c>
      <c r="E62" s="1">
        <f>+E63+100*218</f>
        <v>1069400</v>
      </c>
      <c r="F62" s="1">
        <f>+A!C62-A!D62-A!E62</f>
        <v>345600</v>
      </c>
      <c r="G62" s="1"/>
      <c r="H62" s="4">
        <f>SUM(A!J62:J68)/7*1000000/A!H$3-SUM(A!F62:F68)/7*(1-A!N$3)</f>
        <v>94733.897142857255</v>
      </c>
      <c r="I62" s="7">
        <f>SUM(A!F59:F65)/7</f>
        <v>348031</v>
      </c>
      <c r="J62" s="1">
        <v>4899</v>
      </c>
      <c r="K62" s="1">
        <v>181</v>
      </c>
      <c r="L62" s="1"/>
      <c r="M62" s="4">
        <f>A!D62-A!D63</f>
        <v>813</v>
      </c>
      <c r="N62" s="11">
        <f>SUM(A!P62:P68)/7*A!N$3</f>
        <v>479.6</v>
      </c>
      <c r="O62" s="4">
        <f>(SUM(A!M22:M28)/A!O$3*1000-SUM(A!P59:P65))/7+A!N61</f>
        <v>248004.7406564414</v>
      </c>
      <c r="P62" s="4">
        <f t="shared" si="1"/>
        <v>33777</v>
      </c>
      <c r="Q62" s="1">
        <f>SUM(A!P59:P65)/7</f>
        <v>24796.285714285714</v>
      </c>
      <c r="Z62" s="10">
        <f t="shared" si="18"/>
        <v>44181</v>
      </c>
      <c r="AA62" s="1">
        <f>AI62*AI$3*2</f>
        <v>3344066.0000000005</v>
      </c>
      <c r="AB62" s="1">
        <f t="shared" si="19"/>
        <v>348031</v>
      </c>
      <c r="AC62" s="1">
        <f t="shared" si="20"/>
        <v>108192.64375550018</v>
      </c>
      <c r="AD62" s="1">
        <f t="shared" si="21"/>
        <v>4239849.9939188492</v>
      </c>
      <c r="AF62" s="10">
        <f t="shared" si="15"/>
        <v>44181</v>
      </c>
      <c r="AG62" s="6">
        <f t="shared" si="16"/>
        <v>0.21488303979371898</v>
      </c>
      <c r="AH62" s="6">
        <f t="shared" si="17"/>
        <v>0.9147163276282656</v>
      </c>
      <c r="AI62" s="6">
        <f>V$12/V$57*AI$4</f>
        <v>1.9619783673691755</v>
      </c>
      <c r="AJ62" s="1"/>
    </row>
    <row r="63" spans="2:37" ht="15.6">
      <c r="B63" s="2">
        <f t="shared" si="0"/>
        <v>44182</v>
      </c>
      <c r="C63" s="1">
        <f>+C64+26923</f>
        <v>1406161</v>
      </c>
      <c r="D63" s="1">
        <f>+D64+698</f>
        <v>24125</v>
      </c>
      <c r="E63" s="1">
        <f>+E64+100*226</f>
        <v>1047600</v>
      </c>
      <c r="F63" s="1">
        <f>+A!C63-A!D63-A!E63</f>
        <v>334436</v>
      </c>
      <c r="G63" s="1"/>
      <c r="H63" s="4">
        <f>SUM(A!J63:J69)/7*1000000/A!H$3-SUM(A!F63:F69)/7*(1-A!N$3)</f>
        <v>93926.618412698328</v>
      </c>
      <c r="I63" s="7">
        <f>SUM(A!F60:F66)/7</f>
        <v>342591.85714285716</v>
      </c>
      <c r="J63" s="1">
        <v>4856</v>
      </c>
      <c r="K63" s="1">
        <v>200</v>
      </c>
      <c r="L63" s="1"/>
      <c r="M63" s="4">
        <f>A!D63-A!D64</f>
        <v>698</v>
      </c>
      <c r="N63" s="11">
        <f>SUM(A!P63:P69)/7*A!N$3</f>
        <v>468.45142857142855</v>
      </c>
      <c r="O63" s="4">
        <f>(SUM(A!M23:M29)/A!O$3*1000-SUM(A!P60:P66))/7+A!N62</f>
        <v>256726.44096738735</v>
      </c>
      <c r="P63" s="4">
        <f t="shared" si="1"/>
        <v>26923</v>
      </c>
      <c r="Q63" s="1">
        <f>SUM(A!P60:P66)/7</f>
        <v>24756.142857142859</v>
      </c>
      <c r="Z63" s="10">
        <f t="shared" si="18"/>
        <v>44180</v>
      </c>
      <c r="AA63" s="1">
        <f>AI63*AI$3*2</f>
        <v>3344066.0000000005</v>
      </c>
      <c r="AB63" s="1">
        <f t="shared" si="19"/>
        <v>342591.85714285716</v>
      </c>
      <c r="AC63" s="1">
        <f t="shared" si="20"/>
        <v>105798.5920884153</v>
      </c>
      <c r="AD63" s="1">
        <f t="shared" si="21"/>
        <v>4256946.3242063215</v>
      </c>
      <c r="AF63" s="10">
        <f t="shared" si="15"/>
        <v>44180</v>
      </c>
      <c r="AG63" s="6">
        <f t="shared" si="16"/>
        <v>0.21344118523151623</v>
      </c>
      <c r="AH63" s="6">
        <f t="shared" si="17"/>
        <v>0.91609723642533658</v>
      </c>
      <c r="AI63" s="6">
        <f>V$12/V$57*AI$4</f>
        <v>1.9619783673691755</v>
      </c>
      <c r="AJ63" s="1"/>
    </row>
    <row r="64" spans="2:37" ht="15.6">
      <c r="B64" s="2">
        <f t="shared" si="0"/>
        <v>44181</v>
      </c>
      <c r="C64" s="1">
        <f>+C65+27728</f>
        <v>1379238</v>
      </c>
      <c r="D64" s="1">
        <f>+D65+952</f>
        <v>23427</v>
      </c>
      <c r="E64" s="1">
        <f>+E65+100*217</f>
        <v>1025000</v>
      </c>
      <c r="F64" s="1">
        <f>+A!C64-A!D64-A!E64</f>
        <v>330811</v>
      </c>
      <c r="G64" s="1"/>
      <c r="H64" s="4">
        <f>SUM(A!J64:J70)/7*1000000/A!H$3-SUM(A!F64:F70)/7*(1-A!N$3)</f>
        <v>92220.239047619107</v>
      </c>
      <c r="I64" s="7">
        <f>SUM(A!F61:F67)/7</f>
        <v>336944.57142857142</v>
      </c>
      <c r="J64" s="1">
        <v>4836</v>
      </c>
      <c r="K64" s="1">
        <v>212</v>
      </c>
      <c r="L64" s="1"/>
      <c r="M64" s="4">
        <f>A!D64-A!D65</f>
        <v>952</v>
      </c>
      <c r="N64" s="11">
        <f>SUM(A!P64:P70)/7*A!N$3</f>
        <v>459.18285714285719</v>
      </c>
      <c r="O64" s="4">
        <f>(SUM(A!M24:M30)/A!O$3*1000-SUM(A!P61:P67))/7+A!N63</f>
        <v>261584.48880489974</v>
      </c>
      <c r="P64" s="4">
        <f t="shared" si="1"/>
        <v>27728</v>
      </c>
      <c r="Q64" s="1">
        <f>SUM(A!P61:P67)/7</f>
        <v>24388.857142857141</v>
      </c>
      <c r="Z64" s="10">
        <f t="shared" si="18"/>
        <v>44179</v>
      </c>
      <c r="AA64" s="1">
        <f>AI64*AI$3*2</f>
        <v>3344066.0000000005</v>
      </c>
      <c r="AB64" s="1">
        <f t="shared" si="19"/>
        <v>336944.57142857142</v>
      </c>
      <c r="AC64" s="1">
        <f t="shared" si="20"/>
        <v>103232.23692807094</v>
      </c>
      <c r="AD64" s="1">
        <f t="shared" si="21"/>
        <v>4371784.7574094748</v>
      </c>
      <c r="AF64" s="10">
        <f t="shared" si="15"/>
        <v>44179</v>
      </c>
      <c r="AG64" s="6">
        <f t="shared" si="16"/>
        <v>0.21236284218092669</v>
      </c>
      <c r="AH64" s="6">
        <f t="shared" si="17"/>
        <v>0.91947271106552275</v>
      </c>
      <c r="AI64" s="6">
        <f>V$12/V$57*AI$4</f>
        <v>1.9619783673691755</v>
      </c>
      <c r="AJ64" s="1" t="str">
        <f>AJ57</f>
        <v>x</v>
      </c>
    </row>
    <row r="65" spans="2:36" ht="15.6">
      <c r="B65" s="2">
        <f t="shared" si="0"/>
        <v>44180</v>
      </c>
      <c r="C65" s="1">
        <f>+C66+14432</f>
        <v>1351510</v>
      </c>
      <c r="D65" s="1">
        <v>22475</v>
      </c>
      <c r="E65" s="1">
        <f>+E66+100*191</f>
        <v>1003300</v>
      </c>
      <c r="F65" s="1">
        <f>+A!C65-A!D65-A!E65</f>
        <v>325735</v>
      </c>
      <c r="G65" s="1"/>
      <c r="H65" s="4">
        <f>SUM(A!J65:J71)/7*1000000/A!H$3-SUM(A!F65:F71)/7*(1-A!N$3)</f>
        <v>89939.184761904762</v>
      </c>
      <c r="I65" s="7">
        <f>SUM(A!F62:F68)/7</f>
        <v>331437.71428571426</v>
      </c>
      <c r="J65" s="1">
        <v>4735</v>
      </c>
      <c r="K65" s="1">
        <v>161</v>
      </c>
      <c r="L65" s="1"/>
      <c r="M65" s="4">
        <f>A!D65-A!D66</f>
        <v>500</v>
      </c>
      <c r="N65" s="11">
        <f>SUM(A!P65:P71)/7*A!N$3</f>
        <v>439.43142857142857</v>
      </c>
      <c r="O65" s="4">
        <f>(SUM(A!M25:M31)/A!O$3*1000-SUM(A!P62:P68))/7+A!N64</f>
        <v>261827.03398000315</v>
      </c>
      <c r="P65" s="4">
        <f t="shared" si="1"/>
        <v>14432</v>
      </c>
      <c r="Q65" s="1">
        <f>SUM(A!P62:P68)/7</f>
        <v>23980</v>
      </c>
      <c r="Z65" s="10">
        <f t="shared" si="18"/>
        <v>44178</v>
      </c>
      <c r="AA65" s="1">
        <f>AI65*AI$3*2</f>
        <v>3032076</v>
      </c>
      <c r="AB65" s="1">
        <f t="shared" si="19"/>
        <v>331437.71428571426</v>
      </c>
      <c r="AC65" s="1">
        <f t="shared" si="20"/>
        <v>100360.89844375788</v>
      </c>
      <c r="AD65" s="1">
        <f t="shared" si="21"/>
        <v>4468208.1927694539</v>
      </c>
      <c r="AF65" s="10">
        <f t="shared" si="15"/>
        <v>44178</v>
      </c>
      <c r="AG65" s="6">
        <f t="shared" si="16"/>
        <v>0.21086764613952197</v>
      </c>
      <c r="AH65" s="6">
        <f t="shared" si="17"/>
        <v>0.92246118814140454</v>
      </c>
      <c r="AI65" s="6">
        <f>V$13/V$57*AI$4</f>
        <v>1.7789324493653114</v>
      </c>
      <c r="AJ65" s="1"/>
    </row>
    <row r="66" spans="2:36" ht="15.6">
      <c r="B66" s="2">
        <f t="shared" si="0"/>
        <v>44179</v>
      </c>
      <c r="C66" s="1">
        <f>+C67+16362</f>
        <v>1337078</v>
      </c>
      <c r="D66" s="1">
        <v>21975</v>
      </c>
      <c r="E66" s="1">
        <v>984200</v>
      </c>
      <c r="F66" s="1">
        <f>+A!C66-A!D66-A!E66</f>
        <v>330903</v>
      </c>
      <c r="G66" s="1"/>
      <c r="H66" s="4">
        <f>SUM(A!J66:J72)/7*1000000/A!H$3-SUM(A!F66:F72)/7*(1-A!N$3)</f>
        <v>87952.863492063538</v>
      </c>
      <c r="I66" s="7">
        <f>SUM(A!F63:F69)/7</f>
        <v>326210.28571428574</v>
      </c>
      <c r="J66" s="1">
        <v>4670</v>
      </c>
      <c r="K66" s="1">
        <v>195</v>
      </c>
      <c r="L66" s="1"/>
      <c r="M66" s="4">
        <f>A!D66-A!D67</f>
        <v>188</v>
      </c>
      <c r="N66" s="11">
        <f>SUM(A!P66:P72)/7*A!N$3</f>
        <v>438.35142857142858</v>
      </c>
      <c r="O66" s="4">
        <f>(SUM(A!M26:M32)/A!O$3*1000-SUM(A!P63:P69))/7+A!N65</f>
        <v>267442.4476040412</v>
      </c>
      <c r="P66" s="4">
        <f t="shared" si="1"/>
        <v>16362</v>
      </c>
      <c r="Q66" s="1">
        <f>SUM(A!P63:P69)/7</f>
        <v>23422.571428571428</v>
      </c>
      <c r="Z66" s="10">
        <f t="shared" si="18"/>
        <v>44177</v>
      </c>
      <c r="AA66" s="1">
        <f>AI66*AI$3*2</f>
        <v>3032076</v>
      </c>
      <c r="AB66" s="1">
        <f t="shared" si="19"/>
        <v>326210.28571428574</v>
      </c>
      <c r="AC66" s="1">
        <f t="shared" si="20"/>
        <v>97624.09141870412</v>
      </c>
      <c r="AD66" s="1">
        <f t="shared" si="21"/>
        <v>4827299.3913662173</v>
      </c>
      <c r="AF66" s="10">
        <f t="shared" si="15"/>
        <v>44177</v>
      </c>
      <c r="AG66" s="6">
        <f t="shared" si="16"/>
        <v>0.20920056721773858</v>
      </c>
      <c r="AH66" s="6">
        <f t="shared" si="17"/>
        <v>0.92898274084964538</v>
      </c>
      <c r="AI66" s="6">
        <f>V$13/V$57*AI$4</f>
        <v>1.7789324493653114</v>
      </c>
      <c r="AJ66" s="1"/>
    </row>
    <row r="67" spans="2:36" ht="15.6">
      <c r="B67" s="2">
        <f t="shared" si="0"/>
        <v>44178</v>
      </c>
      <c r="C67" s="1">
        <f>+C68+20200</f>
        <v>1320716</v>
      </c>
      <c r="D67" s="1">
        <v>21787</v>
      </c>
      <c r="E67" s="1">
        <f>+E68+100*104</f>
        <v>967900</v>
      </c>
      <c r="F67" s="1">
        <f>+A!C67-A!D67-A!E67</f>
        <v>331029</v>
      </c>
      <c r="G67" s="1"/>
      <c r="H67" s="4">
        <f>SUM(A!J67:J73)/7*1000000/A!H$3-SUM(A!F67:F73)/7*(1-A!N$3)</f>
        <v>85843.322857142775</v>
      </c>
      <c r="I67" s="7">
        <f>SUM(A!F64:F70)/7</f>
        <v>321252.42857142858</v>
      </c>
      <c r="J67" s="1">
        <v>4552</v>
      </c>
      <c r="K67" s="1">
        <v>127</v>
      </c>
      <c r="L67" s="1"/>
      <c r="M67" s="4">
        <f>A!D67-A!D68</f>
        <v>321</v>
      </c>
      <c r="N67" s="11">
        <f>SUM(A!P67:P73)/7*A!N$3</f>
        <v>426.83714285714285</v>
      </c>
      <c r="O67" s="4">
        <f>(SUM(A!M27:M33)/A!O$3*1000-SUM(A!P64:P70))/7+A!N66</f>
        <v>273139.57605297596</v>
      </c>
      <c r="P67" s="4">
        <f t="shared" si="1"/>
        <v>20200</v>
      </c>
      <c r="Q67" s="1">
        <f>SUM(A!P64:P70)/7</f>
        <v>22959.142857142859</v>
      </c>
      <c r="Z67" s="10">
        <f t="shared" si="18"/>
        <v>44176</v>
      </c>
      <c r="AA67" s="1">
        <f>AI67*AI$3*2</f>
        <v>3032076</v>
      </c>
      <c r="AB67" s="1">
        <f t="shared" si="19"/>
        <v>321252.42857142858</v>
      </c>
      <c r="AC67" s="1">
        <f t="shared" si="20"/>
        <v>94588.092116697066</v>
      </c>
      <c r="AD67" s="1">
        <f t="shared" si="21"/>
        <v>4969501.350019427</v>
      </c>
      <c r="AF67" s="10">
        <f t="shared" si="15"/>
        <v>44176</v>
      </c>
      <c r="AG67" s="6">
        <f t="shared" si="16"/>
        <v>0.20643564026772487</v>
      </c>
      <c r="AH67" s="6">
        <f t="shared" si="17"/>
        <v>0.93182056179846662</v>
      </c>
      <c r="AI67" s="6">
        <f>V$13/V$57*AI$4</f>
        <v>1.7789324493653114</v>
      </c>
      <c r="AJ67" s="1"/>
    </row>
    <row r="68" spans="2:36" ht="15.6">
      <c r="B68" s="2">
        <f t="shared" si="0"/>
        <v>44177</v>
      </c>
      <c r="C68" s="1">
        <f>+C69+28438</f>
        <v>1300516</v>
      </c>
      <c r="D68" s="1">
        <f>+D69+496</f>
        <v>21466</v>
      </c>
      <c r="E68" s="1">
        <f>+E69+100*154</f>
        <v>957500</v>
      </c>
      <c r="F68" s="1">
        <f>+A!C68-A!D68-A!E68</f>
        <v>321550</v>
      </c>
      <c r="G68" s="1"/>
      <c r="H68" s="4">
        <f>SUM(A!J68:J74)/7*1000000/A!H$3-SUM(A!F68:F74)/7*(1-A!N$3)</f>
        <v>83688.147619047551</v>
      </c>
      <c r="I68" s="7">
        <f>SUM(A!F65:F71)/7</f>
        <v>316349.71428571426</v>
      </c>
      <c r="J68" s="1">
        <v>4491</v>
      </c>
      <c r="K68" s="1">
        <v>140</v>
      </c>
      <c r="L68" s="1"/>
      <c r="M68" s="4">
        <f>A!D68-A!D69</f>
        <v>496</v>
      </c>
      <c r="N68" s="11">
        <f>SUM(A!P68:P74)/7*A!N$3</f>
        <v>419.8857142857143</v>
      </c>
      <c r="O68" s="4">
        <f>(SUM(A!M28:M34)/A!O$3*1000-SUM(A!P65:P71))/7+A!N67</f>
        <v>287411.97408469865</v>
      </c>
      <c r="P68" s="4">
        <f t="shared" si="1"/>
        <v>28438</v>
      </c>
      <c r="Q68" s="1">
        <f>SUM(A!P65:P71)/7</f>
        <v>21971.571428571428</v>
      </c>
      <c r="Z68" s="10">
        <f t="shared" si="18"/>
        <v>44175</v>
      </c>
      <c r="AA68" s="1">
        <f>AI68*AI$3*2</f>
        <v>3032076</v>
      </c>
      <c r="AB68" s="1">
        <f t="shared" si="19"/>
        <v>316349.71428571426</v>
      </c>
      <c r="AC68" s="1">
        <f t="shared" si="20"/>
        <v>91202.145216279343</v>
      </c>
      <c r="AD68" s="1">
        <f t="shared" si="21"/>
        <v>4966896.7478751922</v>
      </c>
      <c r="AF68" s="10">
        <f t="shared" si="15"/>
        <v>44175</v>
      </c>
      <c r="AG68" s="6">
        <f t="shared" si="16"/>
        <v>0.20270811326698565</v>
      </c>
      <c r="AH68" s="6">
        <f t="shared" si="17"/>
        <v>0.93264316864808927</v>
      </c>
      <c r="AI68" s="6">
        <f>V$13/V$57*AI$4</f>
        <v>1.7789324493653114</v>
      </c>
      <c r="AJ68" s="1"/>
    </row>
    <row r="69" spans="2:36" ht="15.6">
      <c r="B69" s="2">
        <f t="shared" si="0"/>
        <v>44176</v>
      </c>
      <c r="C69" s="1">
        <f>+C70+29875</f>
        <v>1272078</v>
      </c>
      <c r="D69" s="1">
        <f>+D70+598</f>
        <v>20970</v>
      </c>
      <c r="E69" s="1">
        <f>+E70+100*200</f>
        <v>942100</v>
      </c>
      <c r="F69" s="1">
        <f>+A!C69-A!D69-A!E69</f>
        <v>309008</v>
      </c>
      <c r="G69" s="1"/>
      <c r="H69" s="4">
        <f>SUM(A!J69:J75)/7*1000000/A!H$3-SUM(A!F69:F75)/7*(1-A!N$3)</f>
        <v>81210.386031745991</v>
      </c>
      <c r="I69" s="7">
        <f>SUM(A!F66:F72)/7</f>
        <v>312182.85714285716</v>
      </c>
      <c r="J69" s="1">
        <v>4432</v>
      </c>
      <c r="K69" s="1">
        <v>144</v>
      </c>
      <c r="L69" s="1"/>
      <c r="M69" s="4">
        <f>A!D69-A!D70</f>
        <v>598</v>
      </c>
      <c r="N69" s="11">
        <f>SUM(A!P69:P75)/7*A!N$3</f>
        <v>405.25714285714281</v>
      </c>
      <c r="O69" s="4">
        <f>(SUM(A!M29:M35)/A!O$3*1000-SUM(A!P66:P72))/7+A!N68</f>
        <v>299551.36417316657</v>
      </c>
      <c r="P69" s="4">
        <f t="shared" si="1"/>
        <v>29875</v>
      </c>
      <c r="Q69" s="1">
        <f>SUM(A!P66:P72)/7</f>
        <v>21917.571428571428</v>
      </c>
      <c r="Z69" s="10">
        <f t="shared" si="18"/>
        <v>44174</v>
      </c>
      <c r="AA69" s="1">
        <f>AI69*AI$3*2</f>
        <v>3032076</v>
      </c>
      <c r="AB69" s="1">
        <f t="shared" si="19"/>
        <v>312182.85714285716</v>
      </c>
      <c r="AC69" s="1">
        <f t="shared" si="20"/>
        <v>87776.802123986679</v>
      </c>
      <c r="AD69" s="1">
        <f t="shared" si="21"/>
        <v>4919030.3621957898</v>
      </c>
      <c r="AF69" s="10">
        <f t="shared" si="15"/>
        <v>44174</v>
      </c>
      <c r="AG69" s="6">
        <f t="shared" si="16"/>
        <v>0.19813195061415192</v>
      </c>
      <c r="AH69" s="6">
        <f t="shared" si="17"/>
        <v>0.93264569844392731</v>
      </c>
      <c r="AI69" s="6">
        <f>V$13/V$57*AI$4</f>
        <v>1.7789324493653114</v>
      </c>
      <c r="AJ69" s="1"/>
    </row>
    <row r="70" spans="2:36" ht="15.6">
      <c r="B70" s="2">
        <f t="shared" si="0"/>
        <v>44175</v>
      </c>
      <c r="C70" s="1">
        <f>+C71+23679</f>
        <v>1242203</v>
      </c>
      <c r="D70" s="1">
        <f>+D71+440</f>
        <v>20372</v>
      </c>
      <c r="E70" s="1">
        <f>+E71+100*200</f>
        <v>922100</v>
      </c>
      <c r="F70" s="1">
        <f>+A!C70-A!D70-A!E70</f>
        <v>299731</v>
      </c>
      <c r="G70" s="1"/>
      <c r="H70" s="4">
        <f>SUM(A!J70:J76)/7*1000000/A!H$3-SUM(A!F70:F76)/7*(1-A!N$3)</f>
        <v>78300.914285714272</v>
      </c>
      <c r="I70" s="7">
        <f>SUM(A!F67:F73)/7</f>
        <v>307973.28571428574</v>
      </c>
      <c r="J70" s="1">
        <v>4339</v>
      </c>
      <c r="K70" s="1">
        <v>168</v>
      </c>
      <c r="M70" s="4">
        <f>A!D70-A!D71</f>
        <v>440</v>
      </c>
      <c r="N70" s="11">
        <f>SUM(A!P70:P76)/7*A!N$3</f>
        <v>386.89714285714285</v>
      </c>
      <c r="O70" s="4">
        <f>(SUM(A!M30:M36)/A!O$3*1000-SUM(A!P67:P73))/7+A!N69</f>
        <v>295505.84359524678</v>
      </c>
      <c r="P70" s="4">
        <f t="shared" si="1"/>
        <v>23679</v>
      </c>
      <c r="Q70" s="1">
        <f>SUM(A!P67:P73)/7</f>
        <v>21341.857142857141</v>
      </c>
      <c r="Z70" s="10">
        <f t="shared" si="18"/>
        <v>44173</v>
      </c>
      <c r="AA70" s="1">
        <f>AI70*AI$3*2</f>
        <v>3032076</v>
      </c>
      <c r="AB70" s="1">
        <f t="shared" si="19"/>
        <v>307973.28571428574</v>
      </c>
      <c r="AC70" s="1">
        <f t="shared" si="20"/>
        <v>84427.85302194237</v>
      </c>
      <c r="AD70" s="1">
        <f t="shared" si="21"/>
        <v>3780960.3195012738</v>
      </c>
      <c r="AF70" s="10">
        <f t="shared" si="15"/>
        <v>44173</v>
      </c>
      <c r="AG70" s="6">
        <f t="shared" si="16"/>
        <v>0.19358103948913608</v>
      </c>
      <c r="AH70" s="6">
        <f t="shared" si="17"/>
        <v>0.9148954093569267</v>
      </c>
      <c r="AI70" s="6">
        <f>V$13/V$57*AI$4</f>
        <v>1.7789324493653114</v>
      </c>
      <c r="AJ70" s="1"/>
    </row>
    <row r="71" spans="2:36" ht="15.6">
      <c r="B71" s="2">
        <f t="shared" si="0"/>
        <v>44174</v>
      </c>
      <c r="C71" s="1">
        <f>+C72+20815</f>
        <v>1218524</v>
      </c>
      <c r="D71" s="1">
        <f>+D72+590</f>
        <v>19932</v>
      </c>
      <c r="E71" s="1">
        <f>+E72+100*203</f>
        <v>902100</v>
      </c>
      <c r="F71" s="1">
        <f>+A!C71-A!D71-A!E71</f>
        <v>296492</v>
      </c>
      <c r="G71" s="1"/>
      <c r="H71" s="4">
        <f>SUM(A!J71:J77)/7*1000000/A!H$3-SUM(A!F71:F77)/7*(1-A!N$3)</f>
        <v>75218.344126984186</v>
      </c>
      <c r="I71" s="7">
        <f>SUM(A!F68:F74)/7</f>
        <v>304419.28571428574</v>
      </c>
      <c r="J71" s="1">
        <v>4278</v>
      </c>
      <c r="K71" s="1">
        <v>155</v>
      </c>
      <c r="M71" s="4">
        <f>A!D71-A!D72</f>
        <v>590</v>
      </c>
      <c r="N71" s="11">
        <f>SUM(A!P71:P77)/7*A!N$3</f>
        <v>382.23142857142858</v>
      </c>
      <c r="O71" s="4">
        <f>(SUM(A!M31:M37)/A!O$3*1000-SUM(A!P68:P74))/7+A!N70</f>
        <v>290704.97074386221</v>
      </c>
      <c r="P71" s="4">
        <f t="shared" si="1"/>
        <v>20815</v>
      </c>
      <c r="Q71" s="1">
        <f>SUM(A!P68:P74)/7</f>
        <v>20994.285714285714</v>
      </c>
      <c r="Z71" s="10">
        <f t="shared" si="18"/>
        <v>44172</v>
      </c>
      <c r="AA71" s="1">
        <f>AI71*AI$3*2</f>
        <v>3032076</v>
      </c>
      <c r="AB71" s="1">
        <f t="shared" si="19"/>
        <v>304419.28571428574</v>
      </c>
      <c r="AC71" s="1">
        <f t="shared" si="20"/>
        <v>79344.695101245889</v>
      </c>
      <c r="AD71" s="1">
        <f t="shared" si="21"/>
        <v>3916305.0889579812</v>
      </c>
      <c r="AF71" s="10">
        <f t="shared" si="15"/>
        <v>44172</v>
      </c>
      <c r="AG71" s="6">
        <f t="shared" si="16"/>
        <v>0.1860251562505639</v>
      </c>
      <c r="AH71" s="6">
        <f t="shared" si="17"/>
        <v>0.91856853492082391</v>
      </c>
      <c r="AI71" s="6">
        <f>V$13/V$57*AI$4</f>
        <v>1.7789324493653114</v>
      </c>
      <c r="AJ71" s="1" t="str">
        <f>AJ64</f>
        <v>x</v>
      </c>
    </row>
    <row r="72" spans="2:36" ht="15.6">
      <c r="B72" s="2">
        <f t="shared" si="0"/>
        <v>44173</v>
      </c>
      <c r="C72" s="1">
        <v>1197709</v>
      </c>
      <c r="D72" s="1">
        <f>+D73+423</f>
        <v>19342</v>
      </c>
      <c r="E72" s="1">
        <f>+E73+100*185</f>
        <v>881800</v>
      </c>
      <c r="F72" s="1">
        <f>+A!C72-A!D72-A!E72</f>
        <v>296567</v>
      </c>
      <c r="G72" s="1"/>
      <c r="H72" s="4">
        <f>SUM(A!J72:J78)/7*1000000/A!H$3-SUM(A!F72:F78)/7*(1-A!N$3)</f>
        <v>72314.233650793612</v>
      </c>
      <c r="I72" s="7">
        <f>SUM(A!F69:F75)/7</f>
        <v>301246.28571428574</v>
      </c>
      <c r="J72" s="1">
        <v>4257</v>
      </c>
      <c r="K72" s="1">
        <v>181</v>
      </c>
      <c r="L72" s="1"/>
      <c r="M72" s="4">
        <f>A!D72-A!D73</f>
        <v>423</v>
      </c>
      <c r="N72" s="11">
        <f>SUM(A!P72:P78)/7*A!N$3</f>
        <v>372.1028571428572</v>
      </c>
      <c r="O72" s="4">
        <f>(SUM(A!M57:M63)/A!O$3*1000-SUM(A!P69:P75))/7+A!N71</f>
        <v>217830.72852326857</v>
      </c>
      <c r="P72" s="4">
        <f t="shared" si="1"/>
        <v>14054</v>
      </c>
      <c r="Q72" s="1">
        <f>SUM(A!P69:P75)/7</f>
        <v>20262.857142857141</v>
      </c>
      <c r="Z72" s="10">
        <f t="shared" si="18"/>
        <v>44171</v>
      </c>
      <c r="AA72" s="1">
        <f>AI72*AI$3*2</f>
        <v>2791580</v>
      </c>
      <c r="AB72" s="1">
        <f t="shared" si="19"/>
        <v>301246.28571428574</v>
      </c>
      <c r="AC72" s="1">
        <f t="shared" si="20"/>
        <v>75528.806362438321</v>
      </c>
      <c r="AD72" s="1">
        <f t="shared" si="21"/>
        <v>3702462.6624177396</v>
      </c>
      <c r="AF72" s="10">
        <f t="shared" si="15"/>
        <v>44171</v>
      </c>
      <c r="AG72" s="6">
        <f t="shared" si="16"/>
        <v>0.18050402648643363</v>
      </c>
      <c r="AH72" s="6">
        <f t="shared" si="17"/>
        <v>0.91523537206512173</v>
      </c>
      <c r="AI72" s="6">
        <f>V$14/V$57*AI$4</f>
        <v>1.6378323785417042</v>
      </c>
      <c r="AJ72" s="1"/>
    </row>
    <row r="73" spans="2:36" ht="15.6">
      <c r="B73" s="2">
        <f t="shared" si="0"/>
        <v>44172</v>
      </c>
      <c r="C73" s="1">
        <v>1183655</v>
      </c>
      <c r="D73" s="1">
        <f>+D74+147</f>
        <v>18919</v>
      </c>
      <c r="E73" s="1">
        <f>+E74+100*169</f>
        <v>863300</v>
      </c>
      <c r="F73" s="1">
        <f>+A!C73-A!D73-A!E73</f>
        <v>301436</v>
      </c>
      <c r="G73" s="1"/>
      <c r="H73" s="4">
        <f>SUM(A!J73:J79)/7*1000000/A!H$3-SUM(A!F73:F79)/7*(1-A!N$3)</f>
        <v>68278.370158730075</v>
      </c>
      <c r="I73" s="7">
        <f>SUM(A!F70:F76)/7</f>
        <v>298760</v>
      </c>
      <c r="J73" s="1">
        <v>4179</v>
      </c>
      <c r="K73" s="1">
        <v>171</v>
      </c>
      <c r="L73" s="1"/>
      <c r="M73" s="4">
        <f>A!D73-A!D74</f>
        <v>147</v>
      </c>
      <c r="N73" s="11">
        <f>SUM(A!P73:P79)/7*A!N$3</f>
        <v>370.81714285714281</v>
      </c>
      <c r="O73" s="4">
        <f>(SUM(A!M58:M64)/A!O$3*1000-SUM(A!P70:P76))/7+A!N72</f>
        <v>218215.12196408943</v>
      </c>
      <c r="P73" s="4">
        <f t="shared" si="1"/>
        <v>12332</v>
      </c>
      <c r="Q73" s="1">
        <f>SUM(A!P70:P76)/7</f>
        <v>19344.857142857141</v>
      </c>
      <c r="Z73" s="10">
        <f t="shared" si="18"/>
        <v>44170</v>
      </c>
      <c r="AA73" s="1">
        <f>AI73*AI$3*2</f>
        <v>2791580</v>
      </c>
      <c r="AB73" s="1">
        <f t="shared" si="19"/>
        <v>298760</v>
      </c>
      <c r="AC73" s="1">
        <f t="shared" si="20"/>
        <v>72489.721641454351</v>
      </c>
      <c r="AD73" s="1">
        <f t="shared" si="21"/>
        <v>3744673.535415363</v>
      </c>
      <c r="AF73" s="10">
        <f t="shared" si="15"/>
        <v>44170</v>
      </c>
      <c r="AG73" s="6">
        <f t="shared" si="16"/>
        <v>0.17570618536879717</v>
      </c>
      <c r="AH73" s="6">
        <f t="shared" si="17"/>
        <v>0.91674575810351955</v>
      </c>
      <c r="AI73" s="6">
        <f>V$14/V$57*AI$4</f>
        <v>1.6378323785417042</v>
      </c>
      <c r="AJ73" s="1"/>
    </row>
    <row r="74" spans="2:36" ht="15.6">
      <c r="B74" s="2">
        <f t="shared" si="0"/>
        <v>44171</v>
      </c>
      <c r="C74" s="1">
        <f>+C75+17767</f>
        <v>1171323</v>
      </c>
      <c r="D74" s="1">
        <f>+D75+255</f>
        <v>18772</v>
      </c>
      <c r="E74" s="1">
        <v>846400</v>
      </c>
      <c r="F74" s="1">
        <f>+A!C74-A!D74-A!E74</f>
        <v>306151</v>
      </c>
      <c r="G74" s="1"/>
      <c r="H74" s="4">
        <f>SUM(A!J74:J80)/7*1000000/A!H$3-SUM(A!F74:F80)/7*(1-A!N$3)</f>
        <v>65473.771746031765</v>
      </c>
      <c r="I74" s="7">
        <f>SUM(A!F71:F77)/7</f>
        <v>297253.71428571426</v>
      </c>
      <c r="J74" s="1">
        <v>4108</v>
      </c>
      <c r="K74" s="1">
        <v>112</v>
      </c>
      <c r="L74" s="1"/>
      <c r="M74" s="4">
        <f>A!D74-A!D75</f>
        <v>255</v>
      </c>
      <c r="N74" s="11">
        <f>SUM(A!P74:P80)/7*A!N$3</f>
        <v>367.49428571428575</v>
      </c>
      <c r="O74" s="4">
        <f>(SUM(A!M59:M65)/A!O$3*1000-SUM(A!P71:P77))/7+A!N73</f>
        <v>206354.7804470502</v>
      </c>
      <c r="P74" s="4">
        <f t="shared" si="1"/>
        <v>17767</v>
      </c>
      <c r="Q74" s="1">
        <f>SUM(A!P71:P77)/7</f>
        <v>19111.571428571428</v>
      </c>
      <c r="Z74" s="10">
        <f t="shared" si="18"/>
        <v>44169</v>
      </c>
      <c r="AA74" s="1">
        <f>AI74*AI$3*2</f>
        <v>2791580</v>
      </c>
      <c r="AB74" s="1">
        <f t="shared" si="19"/>
        <v>297253.71428571426</v>
      </c>
      <c r="AC74" s="1">
        <f t="shared" si="20"/>
        <v>69545.943004514018</v>
      </c>
      <c r="AD74" s="1">
        <f t="shared" si="21"/>
        <v>3656256.6587445401</v>
      </c>
      <c r="AF74" s="10">
        <f t="shared" si="15"/>
        <v>44169</v>
      </c>
      <c r="AG74" s="6">
        <f t="shared" si="16"/>
        <v>0.1704725988507193</v>
      </c>
      <c r="AH74" s="6">
        <f t="shared" si="17"/>
        <v>0.91528369485239847</v>
      </c>
      <c r="AI74" s="6">
        <f>V$14/V$57*AI$4</f>
        <v>1.6378323785417042</v>
      </c>
      <c r="AJ74" s="1"/>
    </row>
    <row r="75" spans="2:36" ht="15.6">
      <c r="B75" s="2">
        <f t="shared" si="0"/>
        <v>44170</v>
      </c>
      <c r="C75" s="1">
        <f>+C76+23318</f>
        <v>1153556</v>
      </c>
      <c r="D75" s="1">
        <f>+D76+483</f>
        <v>18517</v>
      </c>
      <c r="E75" s="1">
        <v>835700</v>
      </c>
      <c r="F75" s="1">
        <f>+A!C75-A!D75-A!E75</f>
        <v>299339</v>
      </c>
      <c r="G75" s="1"/>
      <c r="H75" s="4">
        <f>SUM(A!J75:J81)/7*1000000/A!H$3-SUM(A!F75:F81)/7*(1-A!N$3)</f>
        <v>63107.560317460331</v>
      </c>
      <c r="I75" s="7">
        <f>SUM(A!F72:F78)/7</f>
        <v>296057.71428571426</v>
      </c>
      <c r="J75" s="1">
        <v>4051</v>
      </c>
      <c r="K75" s="1">
        <v>144</v>
      </c>
      <c r="L75" s="1"/>
      <c r="M75" s="4">
        <f>A!D75-A!D76</f>
        <v>483</v>
      </c>
      <c r="N75" s="11">
        <f>SUM(A!P75:P81)/7*A!N$3</f>
        <v>358.47714285714284</v>
      </c>
      <c r="O75" s="4">
        <f>(SUM(A!M60:M66)/A!O$3*1000-SUM(A!P72:P78))/7+A!N74</f>
        <v>204868.66980788359</v>
      </c>
      <c r="P75" s="4">
        <f t="shared" si="1"/>
        <v>23318</v>
      </c>
      <c r="Q75" s="1">
        <f>SUM(A!P72:P78)/7</f>
        <v>18605.142857142859</v>
      </c>
      <c r="Z75" s="10">
        <f t="shared" si="18"/>
        <v>44168</v>
      </c>
      <c r="AA75" s="1">
        <f>AI75*AI$3*2</f>
        <v>2791580</v>
      </c>
      <c r="AB75" s="1">
        <f t="shared" si="19"/>
        <v>296057.71428571426</v>
      </c>
      <c r="AC75" s="1">
        <f t="shared" si="20"/>
        <v>66812.477996568399</v>
      </c>
      <c r="AD75" s="1">
        <f t="shared" si="21"/>
        <v>3491096.185904115</v>
      </c>
      <c r="AF75" s="10">
        <f t="shared" si="15"/>
        <v>44168</v>
      </c>
      <c r="AG75" s="6">
        <f t="shared" si="16"/>
        <v>0.16497907065161743</v>
      </c>
      <c r="AH75" s="6">
        <f t="shared" si="17"/>
        <v>0.91168970717761499</v>
      </c>
      <c r="AI75" s="6">
        <f>V$14/V$57*AI$4</f>
        <v>1.6378323785417042</v>
      </c>
      <c r="AJ75" s="1"/>
    </row>
    <row r="76" spans="2:36" ht="15.6">
      <c r="B76" s="2">
        <f t="shared" si="0"/>
        <v>44169</v>
      </c>
      <c r="C76" s="1">
        <f>+C77+23449</f>
        <v>1130238</v>
      </c>
      <c r="D76" s="1">
        <f>+D77+432</f>
        <v>18034</v>
      </c>
      <c r="E76" s="1">
        <f>+E77+100*206</f>
        <v>820600</v>
      </c>
      <c r="F76" s="1">
        <f>+A!C76-A!D76-A!E76</f>
        <v>291604</v>
      </c>
      <c r="G76" s="1"/>
      <c r="H76" s="4">
        <f>SUM(A!J76:J82)/7*1000000/A!H$3-SUM(A!F76:F82)/7*(1-A!N$3)</f>
        <v>60787.819047619065</v>
      </c>
      <c r="I76" s="7">
        <f>SUM(A!F73:F79)/7</f>
        <v>295796.28571428574</v>
      </c>
      <c r="J76" s="1">
        <v>4011</v>
      </c>
      <c r="K76" s="1">
        <v>135</v>
      </c>
      <c r="L76" s="1"/>
      <c r="M76" s="4">
        <f>A!D76-A!D77</f>
        <v>432</v>
      </c>
      <c r="N76" s="11">
        <f>SUM(A!P76:P82)/7*A!N$3</f>
        <v>353.84000000000003</v>
      </c>
      <c r="O76" s="4">
        <f>(SUM(A!M61:M67)/A!O$3*1000-SUM(A!P73:P79))/7+A!N75</f>
        <v>200317.33208710674</v>
      </c>
      <c r="P76" s="4">
        <f t="shared" si="1"/>
        <v>23449</v>
      </c>
      <c r="Q76" s="1">
        <f>SUM(A!P73:P79)/7</f>
        <v>18540.857142857141</v>
      </c>
      <c r="Z76" s="10">
        <f t="shared" si="18"/>
        <v>44167</v>
      </c>
      <c r="AA76" s="1">
        <f>AI76*AI$3*2</f>
        <v>2791580</v>
      </c>
      <c r="AB76" s="1">
        <f t="shared" si="19"/>
        <v>295796.28571428574</v>
      </c>
      <c r="AC76" s="1">
        <f t="shared" si="20"/>
        <v>64181.303181234194</v>
      </c>
      <c r="AD76" s="1">
        <f t="shared" si="21"/>
        <v>3377828.949981024</v>
      </c>
      <c r="AF76" s="10">
        <f t="shared" si="15"/>
        <v>44167</v>
      </c>
      <c r="AG76" s="6">
        <f t="shared" si="16"/>
        <v>0.15940776378710095</v>
      </c>
      <c r="AH76" s="6">
        <f t="shared" si="17"/>
        <v>0.9089296409216826</v>
      </c>
      <c r="AI76" s="6">
        <f>V$14/V$57*AI$4</f>
        <v>1.6378323785417042</v>
      </c>
      <c r="AJ76" s="1"/>
    </row>
    <row r="77" spans="2:36" ht="15.6">
      <c r="B77" s="2">
        <f t="shared" si="0"/>
        <v>44168</v>
      </c>
      <c r="C77" s="1">
        <f>+C78+22046</f>
        <v>1106789</v>
      </c>
      <c r="D77" s="1">
        <f>+D78+479</f>
        <v>17602</v>
      </c>
      <c r="E77" s="1">
        <f>+E78+100*205</f>
        <v>800000</v>
      </c>
      <c r="F77" s="1">
        <f>+A!C77-A!D77-A!E77</f>
        <v>289187</v>
      </c>
      <c r="G77" s="1"/>
      <c r="H77" s="4">
        <f>SUM(A!J77:J83)/7*1000000/A!H$3-SUM(A!F77:F83)/7*(1-A!N$3)</f>
        <v>58359.608253968239</v>
      </c>
      <c r="I77" s="7">
        <f>SUM(A!F74:F80)/7</f>
        <v>295379.85714285716</v>
      </c>
      <c r="J77" s="1">
        <v>3980</v>
      </c>
      <c r="K77" s="1">
        <v>142</v>
      </c>
      <c r="L77" s="1"/>
      <c r="M77" s="4">
        <f>A!D77-A!D78</f>
        <v>479</v>
      </c>
      <c r="N77" s="11">
        <f>SUM(A!P77:P83)/7*A!N$3</f>
        <v>352.00285714285718</v>
      </c>
      <c r="O77" s="4">
        <f>(SUM(A!M62:M68)/A!O$3*1000-SUM(A!P74:P80))/7+A!N76</f>
        <v>189695.19125372978</v>
      </c>
      <c r="P77" s="4">
        <f t="shared" si="1"/>
        <v>22046</v>
      </c>
      <c r="Q77" s="1">
        <f>SUM(A!P74:P80)/7</f>
        <v>18374.714285714286</v>
      </c>
      <c r="Z77" s="10">
        <f t="shared" si="18"/>
        <v>44166</v>
      </c>
      <c r="AA77" s="1">
        <f>AI77*AI$3*2</f>
        <v>2791580</v>
      </c>
      <c r="AB77" s="1">
        <f t="shared" si="19"/>
        <v>295379.85714285716</v>
      </c>
      <c r="AC77" s="1">
        <f t="shared" si="20"/>
        <v>61312.994071954607</v>
      </c>
      <c r="AD77" s="1">
        <f t="shared" si="21"/>
        <v>3171982.5942600234</v>
      </c>
      <c r="AF77" s="10">
        <f t="shared" si="15"/>
        <v>44166</v>
      </c>
      <c r="AG77" s="6">
        <f t="shared" si="16"/>
        <v>0.15322081607216737</v>
      </c>
      <c r="AH77" s="6">
        <f t="shared" si="17"/>
        <v>0.90348494725037598</v>
      </c>
      <c r="AI77" s="6">
        <f>V$14/V$57*AI$4</f>
        <v>1.6378323785417042</v>
      </c>
      <c r="AJ77" s="1"/>
    </row>
    <row r="78" spans="2:36" ht="15.6">
      <c r="B78" s="2">
        <f t="shared" si="0"/>
        <v>44167</v>
      </c>
      <c r="C78" s="1">
        <v>1084743</v>
      </c>
      <c r="D78" s="1">
        <f>+D79+487</f>
        <v>17123</v>
      </c>
      <c r="E78" s="1">
        <f>+E79+100*234</f>
        <v>779500</v>
      </c>
      <c r="F78" s="1">
        <f>+A!C78-A!D78-A!E78</f>
        <v>288120</v>
      </c>
      <c r="G78" s="1"/>
      <c r="H78" s="4">
        <f>SUM(A!J78:J84)/7*1000000/A!H$3-SUM(A!F78:F84)/7*(1-A!N$3)</f>
        <v>55964.312698412628</v>
      </c>
      <c r="I78" s="7">
        <f>SUM(A!F75:F81)/7</f>
        <v>295112.14285714284</v>
      </c>
      <c r="J78" s="1">
        <v>3957</v>
      </c>
      <c r="K78" s="1">
        <v>126</v>
      </c>
      <c r="L78" s="1"/>
      <c r="M78" s="4">
        <f>A!D78-A!D79</f>
        <v>487</v>
      </c>
      <c r="N78" s="11">
        <f>SUM(A!P78:P84)/7*A!N$3</f>
        <v>352.63714285714281</v>
      </c>
      <c r="O78" s="4">
        <f>(SUM(A!M63:M69)/A!O$3*1000-SUM(A!P75:P81))/7+A!N77</f>
        <v>178889.43451709158</v>
      </c>
      <c r="P78" s="4">
        <f t="shared" si="1"/>
        <v>17270</v>
      </c>
      <c r="Q78" s="1">
        <f>SUM(A!P75:P81)/7</f>
        <v>17923.857142857141</v>
      </c>
      <c r="Z78" s="10">
        <f t="shared" si="18"/>
        <v>44165</v>
      </c>
      <c r="AA78" s="1">
        <f>AI78*AI$3*2</f>
        <v>2791580</v>
      </c>
      <c r="AB78" s="1">
        <f t="shared" si="19"/>
        <v>295112.14285714284</v>
      </c>
      <c r="AC78" s="1">
        <f t="shared" si="20"/>
        <v>59426.437433894222</v>
      </c>
      <c r="AD78" s="1">
        <f t="shared" si="21"/>
        <v>2819558.2696944391</v>
      </c>
      <c r="AF78" s="10">
        <f t="shared" si="15"/>
        <v>44165</v>
      </c>
      <c r="AG78" s="6">
        <f t="shared" si="16"/>
        <v>0.14947930203736587</v>
      </c>
      <c r="AH78" s="6">
        <f t="shared" si="17"/>
        <v>0.8929185392727419</v>
      </c>
      <c r="AI78" s="6">
        <f>V$14/V$57*AI$4</f>
        <v>1.6378323785417042</v>
      </c>
      <c r="AJ78" s="1" t="str">
        <f>AJ71</f>
        <v>x</v>
      </c>
    </row>
    <row r="79" spans="2:36" ht="15.6">
      <c r="B79" s="2">
        <f t="shared" si="0"/>
        <v>44166</v>
      </c>
      <c r="C79" s="1">
        <f>+C80+13604</f>
        <v>1067473</v>
      </c>
      <c r="D79" s="1">
        <f>+D80+388</f>
        <v>16636</v>
      </c>
      <c r="E79" s="1">
        <f>+E80+100*170</f>
        <v>756100</v>
      </c>
      <c r="F79" s="1">
        <f>+A!C79-A!D79-A!E79</f>
        <v>294737</v>
      </c>
      <c r="G79" s="1"/>
      <c r="H79" s="4">
        <f>SUM(A!J79:J85)/7*1000000/A!H$3-SUM(A!F79:F85)/7*(1-A!N$3)</f>
        <v>53445.332063492096</v>
      </c>
      <c r="I79" s="7">
        <f>SUM(A!F76:F82)/7</f>
        <v>295367.14285714284</v>
      </c>
      <c r="J79" s="1">
        <v>3919</v>
      </c>
      <c r="K79" s="1">
        <v>148</v>
      </c>
      <c r="L79" s="1"/>
      <c r="M79" s="4">
        <f>A!D79-A!D80</f>
        <v>388</v>
      </c>
      <c r="N79" s="11">
        <f>SUM(A!P79:P85)/7*A!N$3</f>
        <v>356.53142857142853</v>
      </c>
      <c r="O79" s="4">
        <f>(SUM(A!M64:M70)/A!O$3*1000-SUM(A!P76:P82))/7+A!N78</f>
        <v>165616.1938616971</v>
      </c>
      <c r="P79" s="4">
        <f t="shared" si="1"/>
        <v>13604</v>
      </c>
      <c r="Q79" s="1">
        <f>SUM(A!P76:P82)/7</f>
        <v>17692</v>
      </c>
      <c r="Z79" s="10">
        <f t="shared" si="18"/>
        <v>44164</v>
      </c>
      <c r="AA79" s="1">
        <f>AI79*AI$3*2</f>
        <v>2762234</v>
      </c>
      <c r="AB79" s="1">
        <f t="shared" si="19"/>
        <v>295367.14285714284</v>
      </c>
      <c r="AC79" s="1">
        <f t="shared" si="20"/>
        <v>56925.613401030991</v>
      </c>
      <c r="AD79" s="1">
        <f t="shared" si="21"/>
        <v>2731222.4125843113</v>
      </c>
      <c r="AF79" s="10">
        <f t="shared" si="15"/>
        <v>44164</v>
      </c>
      <c r="AG79" s="6">
        <f t="shared" si="16"/>
        <v>0.1443369522924251</v>
      </c>
      <c r="AH79" s="6">
        <f t="shared" si="17"/>
        <v>0.89002857606294716</v>
      </c>
      <c r="AI79" s="6">
        <f>V$15/V$57*AI$4</f>
        <v>1.6206149500672613</v>
      </c>
      <c r="AJ79" s="1"/>
    </row>
    <row r="80" spans="2:36" ht="15.6">
      <c r="B80" s="2">
        <f t="shared" si="0"/>
        <v>44165</v>
      </c>
      <c r="C80" s="1">
        <f>+C81+11169</f>
        <v>1053869</v>
      </c>
      <c r="D80" s="1">
        <f>+D81+125</f>
        <v>16248</v>
      </c>
      <c r="E80" s="1">
        <f>+E81+100*168</f>
        <v>739100</v>
      </c>
      <c r="F80" s="1">
        <f>+A!C80-A!D80-A!E80</f>
        <v>298521</v>
      </c>
      <c r="G80" s="1"/>
      <c r="H80" s="4">
        <f>SUM(A!J80:J86)/7*1000000/A!H$3-SUM(A!F80:F86)/7*(1-A!N$3)</f>
        <v>51988.808571428584</v>
      </c>
      <c r="I80" s="7">
        <f>SUM(A!F77:F83)/7</f>
        <v>295810.57142857142</v>
      </c>
      <c r="J80" s="1">
        <v>3926</v>
      </c>
      <c r="K80" s="1">
        <v>146</v>
      </c>
      <c r="L80" s="1"/>
      <c r="M80" s="4">
        <f>A!D80-A!D81</f>
        <v>125</v>
      </c>
      <c r="N80" s="11">
        <f>SUM(A!P80:P86)/7*A!N$3</f>
        <v>356.38857142857148</v>
      </c>
      <c r="O80" s="4">
        <f>(SUM(A!M65:M71)/A!O$3*1000-SUM(A!P77:P83))/7+A!N79</f>
        <v>146762.04213369626</v>
      </c>
      <c r="P80" s="4">
        <f t="shared" si="1"/>
        <v>11169</v>
      </c>
      <c r="Q80" s="1">
        <f>SUM(A!P77:P83)/7</f>
        <v>17600.142857142859</v>
      </c>
      <c r="Z80" s="10">
        <f t="shared" si="18"/>
        <v>44163</v>
      </c>
      <c r="AA80" s="1">
        <f>AI80*AI$3*2</f>
        <v>2762234</v>
      </c>
      <c r="AB80" s="1">
        <f t="shared" si="19"/>
        <v>295810.57142857142</v>
      </c>
      <c r="AC80" s="1">
        <f t="shared" si="20"/>
        <v>54722.411750357547</v>
      </c>
      <c r="AD80" s="1">
        <f t="shared" si="21"/>
        <v>2657871.8180081774</v>
      </c>
      <c r="AF80" s="10">
        <f t="shared" si="15"/>
        <v>44163</v>
      </c>
      <c r="AG80" s="6">
        <f t="shared" si="16"/>
        <v>0.13949332431586237</v>
      </c>
      <c r="AH80" s="6">
        <f t="shared" si="17"/>
        <v>0.88730493142456135</v>
      </c>
      <c r="AI80" s="6">
        <f>V$15/V$57*AI$4</f>
        <v>1.6206149500672613</v>
      </c>
      <c r="AJ80" s="1"/>
    </row>
    <row r="81" spans="2:37" ht="15.6">
      <c r="B81" s="2">
        <f t="shared" si="0"/>
        <v>44164</v>
      </c>
      <c r="C81" s="1">
        <f>+C82+14611</f>
        <v>1042700</v>
      </c>
      <c r="D81" s="1">
        <f>+D82+158</f>
        <v>16123</v>
      </c>
      <c r="E81" s="1">
        <f>+E82+100*113</f>
        <v>722300</v>
      </c>
      <c r="F81" s="1">
        <f>+A!C81-A!D81-A!E81</f>
        <v>304277</v>
      </c>
      <c r="G81" s="1"/>
      <c r="H81" s="4">
        <f>SUM(A!J81:J87)/7*1000000/A!H$3-SUM(A!F81:F87)/7*(1-A!N$3)</f>
        <v>49974.300634920655</v>
      </c>
      <c r="I81" s="7">
        <f>SUM(A!F78:F84)/7</f>
        <v>296259.28571428574</v>
      </c>
      <c r="J81" s="1">
        <v>3901</v>
      </c>
      <c r="K81" s="1">
        <v>85</v>
      </c>
      <c r="L81" s="1"/>
      <c r="M81" s="4">
        <f>A!D81-A!D82</f>
        <v>158</v>
      </c>
      <c r="N81" s="11">
        <f>SUM(A!P81:P87)/7*A!N$3</f>
        <v>355.51714285714286</v>
      </c>
      <c r="O81" s="4">
        <f>(SUM(A!M66:M72)/A!O$3*1000-SUM(A!P78:P84))/7+A!N80</f>
        <v>142699.40448515938</v>
      </c>
      <c r="P81" s="4">
        <f t="shared" si="1"/>
        <v>14611</v>
      </c>
      <c r="Q81" s="1">
        <f>SUM(A!P78:P84)/7</f>
        <v>17631.857142857141</v>
      </c>
      <c r="Z81" s="10">
        <f t="shared" si="18"/>
        <v>44162</v>
      </c>
      <c r="AA81" s="1">
        <f>AI81*AI$3*2</f>
        <v>2762234</v>
      </c>
      <c r="AB81" s="1">
        <f t="shared" si="19"/>
        <v>296259.28571428574</v>
      </c>
      <c r="AC81" s="1">
        <f t="shared" si="20"/>
        <v>51981.30588235132</v>
      </c>
      <c r="AD81" s="1">
        <f t="shared" si="21"/>
        <v>2594738.8545392472</v>
      </c>
      <c r="AF81" s="10">
        <f t="shared" si="15"/>
        <v>44162</v>
      </c>
      <c r="AG81" s="6">
        <f t="shared" si="16"/>
        <v>0.13339127517877794</v>
      </c>
      <c r="AH81" s="6">
        <f t="shared" si="17"/>
        <v>0.88483712476504883</v>
      </c>
      <c r="AI81" s="6">
        <f>V$15/V$57*AI$4</f>
        <v>1.6206149500672613</v>
      </c>
      <c r="AJ81" s="1"/>
    </row>
    <row r="82" spans="2:37" ht="15.6">
      <c r="B82" s="2">
        <f t="shared" si="0"/>
        <v>44163</v>
      </c>
      <c r="C82" s="1">
        <v>1028089</v>
      </c>
      <c r="D82" s="1">
        <v>15965</v>
      </c>
      <c r="E82" s="1">
        <f>+E83+100*149</f>
        <v>711000</v>
      </c>
      <c r="F82" s="1">
        <f>+A!C82-A!D82-A!E82</f>
        <v>301124</v>
      </c>
      <c r="G82" s="1"/>
      <c r="H82" s="4">
        <f>SUM(A!J82:J88)/7*1000000/A!H$3-SUM(A!F82:F88)/7*(1-A!N$3)</f>
        <v>48072.405396825401</v>
      </c>
      <c r="I82" s="7">
        <f>SUM(A!F79:F85)/7</f>
        <v>296549.14285714284</v>
      </c>
      <c r="J82" s="1">
        <v>3888</v>
      </c>
      <c r="K82" s="1">
        <v>121</v>
      </c>
      <c r="L82" s="1"/>
      <c r="M82" s="4">
        <f>A!D82-A!D83</f>
        <v>379</v>
      </c>
      <c r="N82" s="11">
        <f>SUM(A!P82:P88)/7*A!N$3</f>
        <v>358.74571428571426</v>
      </c>
      <c r="O82" s="4">
        <f>(SUM(A!M67:M73)/A!O$3*1000-SUM(A!P79:P85))/7+A!N81</f>
        <v>140357.55902109615</v>
      </c>
      <c r="P82" s="4">
        <f t="shared" si="1"/>
        <v>21695</v>
      </c>
      <c r="Q82" s="1">
        <f>SUM(A!P79:P85)/7</f>
        <v>17826.571428571428</v>
      </c>
      <c r="Z82" s="10">
        <f t="shared" si="18"/>
        <v>44161</v>
      </c>
      <c r="AA82" s="1">
        <f>AI82*AI$3*2</f>
        <v>2762234</v>
      </c>
      <c r="AB82" s="1">
        <f t="shared" si="19"/>
        <v>296549.14285714284</v>
      </c>
      <c r="AC82" s="1">
        <f t="shared" si="20"/>
        <v>49906.412415084247</v>
      </c>
      <c r="AD82" s="1">
        <f t="shared" si="21"/>
        <v>2592906.8038620707</v>
      </c>
      <c r="AF82" s="10">
        <f t="shared" si="15"/>
        <v>44161</v>
      </c>
      <c r="AG82" s="6">
        <f t="shared" si="16"/>
        <v>0.12858619429293844</v>
      </c>
      <c r="AH82" s="6">
        <f t="shared" si="17"/>
        <v>0.88461394661776327</v>
      </c>
      <c r="AI82" s="6">
        <f>V$15/V$57*AI$4</f>
        <v>1.6206149500672613</v>
      </c>
      <c r="AJ82" s="1"/>
    </row>
    <row r="83" spans="2:37" ht="15.6">
      <c r="B83" s="2">
        <f t="shared" si="0"/>
        <v>44162</v>
      </c>
      <c r="C83" s="1">
        <v>1006394</v>
      </c>
      <c r="D83" s="1">
        <v>15586</v>
      </c>
      <c r="E83" s="1">
        <f>+E84+20000</f>
        <v>696100</v>
      </c>
      <c r="F83" s="1">
        <f>+A!C83-A!D83-A!E83</f>
        <v>294708</v>
      </c>
      <c r="G83" s="1"/>
      <c r="H83" s="4">
        <f>SUM(A!J83:J89)/7*1000000/A!H$3-SUM(A!F83:F89)/7*(1-A!N$3)</f>
        <v>45577.414920634881</v>
      </c>
      <c r="I83" s="7">
        <f>SUM(A!F80:F86)/7</f>
        <v>296104.71428571426</v>
      </c>
      <c r="J83" s="1">
        <v>3854</v>
      </c>
      <c r="K83" s="1">
        <v>116</v>
      </c>
      <c r="L83" s="1"/>
      <c r="M83" s="4">
        <f>A!D83-A!D84</f>
        <v>426</v>
      </c>
      <c r="N83" s="11">
        <f>SUM(A!P83:P89)/7*A!N$3</f>
        <v>362.37142857142857</v>
      </c>
      <c r="O83" s="4">
        <f>(SUM(A!M68:M74)/A!O$3*1000-SUM(A!P80:P86))/7+A!N82</f>
        <v>136912.97573051351</v>
      </c>
      <c r="P83" s="4">
        <f t="shared" si="1"/>
        <v>22806</v>
      </c>
      <c r="Q83" s="1">
        <f>SUM(A!P80:P86)/7</f>
        <v>17819.428571428572</v>
      </c>
      <c r="S83" s="4"/>
      <c r="T83" s="8"/>
      <c r="U83" s="8"/>
      <c r="V83" s="8"/>
      <c r="W83" s="8"/>
      <c r="Z83" s="10">
        <f t="shared" si="18"/>
        <v>44160</v>
      </c>
      <c r="AA83" s="1">
        <f>AI83*AI$3*2</f>
        <v>2762234</v>
      </c>
      <c r="AB83" s="1">
        <f t="shared" si="19"/>
        <v>296104.71428571426</v>
      </c>
      <c r="AC83" s="1">
        <f t="shared" si="20"/>
        <v>48569.002586978619</v>
      </c>
      <c r="AD83" s="1">
        <f t="shared" si="21"/>
        <v>2404233.2105427198</v>
      </c>
      <c r="AF83" s="10">
        <f t="shared" si="15"/>
        <v>44160</v>
      </c>
      <c r="AG83" s="6">
        <f t="shared" si="16"/>
        <v>0.12550421653811561</v>
      </c>
      <c r="AH83" s="6">
        <f t="shared" si="17"/>
        <v>0.87660789489721069</v>
      </c>
      <c r="AI83" s="6">
        <f>V$15/V$57*AI$4</f>
        <v>1.6206149500672613</v>
      </c>
      <c r="AJ83" s="1"/>
    </row>
    <row r="84" spans="2:37" ht="15.6">
      <c r="B84" s="2">
        <f t="shared" si="0"/>
        <v>44161</v>
      </c>
      <c r="C84" s="1">
        <v>983588</v>
      </c>
      <c r="D84" s="1">
        <v>15160</v>
      </c>
      <c r="E84" s="1">
        <v>676100</v>
      </c>
      <c r="F84" s="1">
        <f>+A!C84-A!D84-A!E84</f>
        <v>292328</v>
      </c>
      <c r="G84" s="1"/>
      <c r="H84" s="4">
        <f>SUM(A!J84:J90)/7*1000000/A!H$3-SUM(A!F84:F90)/7*(1-A!N$3)</f>
        <v>43644.854285714333</v>
      </c>
      <c r="I84" s="7">
        <f>SUM(A!F81:F87)/7</f>
        <v>295776.14285714284</v>
      </c>
      <c r="J84" s="1">
        <v>3826</v>
      </c>
      <c r="K84" s="1">
        <v>153</v>
      </c>
      <c r="L84" s="1"/>
      <c r="M84" s="4">
        <f>A!D84-A!D85</f>
        <v>389</v>
      </c>
      <c r="N84" s="11">
        <f>SUM(A!P84:P90)/7*A!N$3</f>
        <v>364.77714285714285</v>
      </c>
      <c r="O84" s="4">
        <f>(SUM(A!M69:M75)/A!O$3*1000-SUM(A!P81:P87))/7+A!N83</f>
        <v>136279.65148929489</v>
      </c>
      <c r="P84" s="4">
        <f t="shared" si="1"/>
        <v>22268</v>
      </c>
      <c r="Q84" s="1">
        <f>SUM(A!P81:P87)/7</f>
        <v>17775.857142857141</v>
      </c>
      <c r="S84" s="4"/>
      <c r="T84" s="8"/>
      <c r="U84" s="8"/>
      <c r="V84" s="8"/>
      <c r="W84" s="8"/>
      <c r="Z84" s="10">
        <f t="shared" si="18"/>
        <v>44159</v>
      </c>
      <c r="AA84" s="1">
        <f>AI84*AI$3*2</f>
        <v>2762234</v>
      </c>
      <c r="AB84" s="1">
        <f t="shared" si="19"/>
        <v>295776.14285714284</v>
      </c>
      <c r="AC84" s="1">
        <f t="shared" si="20"/>
        <v>48177.447942425264</v>
      </c>
      <c r="AD84" s="1">
        <f t="shared" si="21"/>
        <v>2416905.8180897939</v>
      </c>
      <c r="AF84" s="10">
        <f t="shared" si="15"/>
        <v>44159</v>
      </c>
      <c r="AG84" s="6">
        <f t="shared" si="16"/>
        <v>0.12452988407136054</v>
      </c>
      <c r="AH84" s="6">
        <f t="shared" si="17"/>
        <v>0.87708782881378788</v>
      </c>
      <c r="AI84" s="6">
        <f>V$15/V$57*AI$4</f>
        <v>1.6206149500672613</v>
      </c>
      <c r="AJ84" s="1"/>
    </row>
    <row r="85" spans="2:37" ht="15.6">
      <c r="B85" s="2">
        <f t="shared" si="0"/>
        <v>44160</v>
      </c>
      <c r="C85" s="1">
        <v>961320</v>
      </c>
      <c r="D85" s="1">
        <v>14771</v>
      </c>
      <c r="E85" s="1">
        <v>656400</v>
      </c>
      <c r="F85" s="1">
        <f>+A!C85-A!D85-A!E85</f>
        <v>290149</v>
      </c>
      <c r="G85" s="1"/>
      <c r="H85" s="4">
        <f>SUM(A!J85:J91)/7*1000000/A!H$3-SUM(A!F85:F91)/7*(1-A!N$3)</f>
        <v>42370.112063492066</v>
      </c>
      <c r="I85" s="7">
        <f>SUM(A!F82:F88)/7</f>
        <v>295229</v>
      </c>
      <c r="J85" s="1">
        <v>3781</v>
      </c>
      <c r="K85" s="1">
        <v>136</v>
      </c>
      <c r="L85" s="1"/>
      <c r="M85" s="4">
        <f>A!D85-A!D86</f>
        <v>410</v>
      </c>
      <c r="N85" s="11">
        <f>SUM(A!P85:P91)/7*A!N$3</f>
        <v>365.75142857142856</v>
      </c>
      <c r="O85" s="4">
        <f>(SUM(A!M70:M76)/A!O$3*1000-SUM(A!P82:P88))/7+A!N84</f>
        <v>127430.8940354918</v>
      </c>
      <c r="P85" s="4">
        <f t="shared" si="1"/>
        <v>18633</v>
      </c>
      <c r="Q85" s="1">
        <f>SUM(A!P82:P88)/7</f>
        <v>17937.285714285714</v>
      </c>
      <c r="S85" s="4"/>
      <c r="T85" s="8"/>
      <c r="U85" s="8"/>
      <c r="V85" s="8"/>
      <c r="W85" s="8"/>
      <c r="Z85" s="10">
        <f t="shared" si="18"/>
        <v>44158</v>
      </c>
      <c r="AA85" s="1">
        <f>AI85*AI$3*2</f>
        <v>2762234</v>
      </c>
      <c r="AB85" s="1">
        <f t="shared" si="19"/>
        <v>295229</v>
      </c>
      <c r="AC85" s="1">
        <f t="shared" si="20"/>
        <v>47531.120414354504</v>
      </c>
      <c r="AD85" s="1">
        <f t="shared" si="21"/>
        <v>2290082.4766739416</v>
      </c>
      <c r="AF85" s="10">
        <f t="shared" si="15"/>
        <v>44158</v>
      </c>
      <c r="AG85" s="6">
        <f t="shared" si="16"/>
        <v>0.12346364745416231</v>
      </c>
      <c r="AH85" s="6">
        <f t="shared" si="17"/>
        <v>0.87157166297086175</v>
      </c>
      <c r="AI85" s="6">
        <f>V$15/V$57*AI$4</f>
        <v>1.6206149500672613</v>
      </c>
      <c r="AJ85" s="1" t="str">
        <f>AJ78</f>
        <v>x</v>
      </c>
    </row>
    <row r="86" spans="2:37" ht="15.6">
      <c r="B86" s="2">
        <f t="shared" si="0"/>
        <v>44159</v>
      </c>
      <c r="C86" s="1">
        <v>942687</v>
      </c>
      <c r="D86" s="1">
        <v>14361</v>
      </c>
      <c r="E86" s="1">
        <v>636700</v>
      </c>
      <c r="F86" s="1">
        <f>+A!C86-A!D86-A!E86</f>
        <v>291626</v>
      </c>
      <c r="G86" s="1"/>
      <c r="H86" s="4">
        <f>SUM(A!J86:J92)/7*1000000/A!H$3-SUM(A!F86:F92)/7*(1-A!N$3)</f>
        <v>41881.001269841217</v>
      </c>
      <c r="I86" s="7">
        <f>SUM(A!F83:F89)/7</f>
        <v>294431.85714285716</v>
      </c>
      <c r="J86" s="1">
        <v>3770</v>
      </c>
      <c r="K86" s="1">
        <v>116</v>
      </c>
      <c r="L86" s="1"/>
      <c r="M86" s="4">
        <f>A!D86-A!D87</f>
        <v>249</v>
      </c>
      <c r="N86" s="11">
        <f>SUM(A!P86:P92)/7*A!N$3</f>
        <v>362.68857142857144</v>
      </c>
      <c r="O86" s="4">
        <f>(SUM(A!M71:M77)/A!O$3*1000-SUM(A!P83:P89))/7+A!N85</f>
        <v>129292.14675914778</v>
      </c>
      <c r="P86" s="4">
        <f t="shared" si="1"/>
        <v>13554</v>
      </c>
      <c r="Q86" s="1">
        <f>SUM(A!P83:P89)/7</f>
        <v>18118.571428571428</v>
      </c>
      <c r="S86" s="4"/>
      <c r="T86" s="8"/>
      <c r="U86" s="8"/>
      <c r="V86" s="8"/>
      <c r="W86" s="8"/>
      <c r="Z86" s="10">
        <f t="shared" si="18"/>
        <v>44157</v>
      </c>
      <c r="AA86" s="1">
        <f>AI86*AI$3*2</f>
        <v>3163476</v>
      </c>
      <c r="AB86" s="1">
        <f t="shared" si="19"/>
        <v>294431.85714285716</v>
      </c>
      <c r="AC86" s="1">
        <f t="shared" si="20"/>
        <v>46708.795567747562</v>
      </c>
      <c r="AD86" s="1">
        <f t="shared" si="21"/>
        <v>2235713.4452903345</v>
      </c>
      <c r="AF86" s="10">
        <f t="shared" si="15"/>
        <v>44157</v>
      </c>
      <c r="AG86" s="6">
        <f t="shared" si="16"/>
        <v>0.12223691459552696</v>
      </c>
      <c r="AH86" s="6">
        <f t="shared" si="17"/>
        <v>0.86954792632004296</v>
      </c>
      <c r="AI86" s="6">
        <f>V$16/V$57*AI$4</f>
        <v>1.8560254126837119</v>
      </c>
      <c r="AJ86" s="1"/>
      <c r="AK86" t="s">
        <v>9</v>
      </c>
    </row>
    <row r="87" spans="2:37" ht="15.6">
      <c r="B87" s="2">
        <f t="shared" si="0"/>
        <v>44158</v>
      </c>
      <c r="C87" s="1">
        <v>929133</v>
      </c>
      <c r="D87" s="1">
        <v>14112</v>
      </c>
      <c r="E87" s="1">
        <v>618800</v>
      </c>
      <c r="F87" s="1">
        <f>+A!C87-A!D87-A!E87</f>
        <v>296221</v>
      </c>
      <c r="G87" s="1"/>
      <c r="H87" s="4">
        <f>SUM(A!J87:J93)/7*1000000/A!H$3-SUM(A!F87:F93)/7*(1-A!N$3)</f>
        <v>41313.462857142906</v>
      </c>
      <c r="I87" s="7">
        <f>SUM(A!F84:F90)/7</f>
        <v>293307</v>
      </c>
      <c r="J87" s="1">
        <v>3742</v>
      </c>
      <c r="K87" s="1">
        <v>122</v>
      </c>
      <c r="L87" s="1"/>
      <c r="M87" s="4">
        <f>A!D87-A!D88</f>
        <v>90</v>
      </c>
      <c r="N87" s="11">
        <f>SUM(A!P87:P93)/7*A!N$3</f>
        <v>365.16</v>
      </c>
      <c r="O87" s="4">
        <f>(SUM(A!M72:M78)/A!O$3*1000-SUM(A!P84:P90))/7+A!N86</f>
        <v>123776.97491388787</v>
      </c>
      <c r="P87" s="4">
        <f t="shared" si="1"/>
        <v>10864</v>
      </c>
      <c r="Q87" s="1">
        <f>SUM(A!P84:P90)/7</f>
        <v>18238.857142857141</v>
      </c>
      <c r="S87" s="4"/>
      <c r="T87" s="8"/>
      <c r="U87" s="8"/>
      <c r="V87" s="8"/>
      <c r="W87" s="8"/>
      <c r="Z87" s="10">
        <f t="shared" si="18"/>
        <v>44156</v>
      </c>
      <c r="AA87" s="1">
        <f>AI87*AI$3*2</f>
        <v>3163476</v>
      </c>
      <c r="AB87" s="1">
        <f t="shared" si="19"/>
        <v>293307</v>
      </c>
      <c r="AC87" s="1">
        <f t="shared" si="20"/>
        <v>46038.841165079088</v>
      </c>
      <c r="AD87" s="1">
        <f t="shared" si="21"/>
        <v>2221968.8392004315</v>
      </c>
      <c r="AF87" s="10">
        <f t="shared" si="15"/>
        <v>44156</v>
      </c>
      <c r="AG87" s="6">
        <f t="shared" si="16"/>
        <v>0.12137080818245564</v>
      </c>
      <c r="AH87" s="6">
        <f t="shared" si="17"/>
        <v>0.86956873133814028</v>
      </c>
      <c r="AI87" s="6">
        <f>V$16/V$57*AI$4</f>
        <v>1.8560254126837119</v>
      </c>
      <c r="AJ87" s="1"/>
    </row>
    <row r="88" spans="2:37" ht="15.6">
      <c r="B88" s="2">
        <f t="shared" si="0"/>
        <v>44157</v>
      </c>
      <c r="C88" s="1">
        <v>918269</v>
      </c>
      <c r="D88" s="1">
        <v>14022</v>
      </c>
      <c r="E88" s="1">
        <v>603800</v>
      </c>
      <c r="F88" s="1">
        <f>+A!C88-A!D88-A!E88</f>
        <v>300447</v>
      </c>
      <c r="G88" s="1"/>
      <c r="H88" s="4">
        <f>SUM(A!J88:J94)/7*1000000/A!H$3-SUM(A!F88:F94)/7*(1-A!N$3)</f>
        <v>40597.488571428636</v>
      </c>
      <c r="I88" s="7">
        <f>SUM(A!F85:F91)/7</f>
        <v>291523.85714285716</v>
      </c>
      <c r="J88" s="1">
        <v>3709</v>
      </c>
      <c r="K88" s="1">
        <v>94</v>
      </c>
      <c r="L88" s="1"/>
      <c r="M88" s="4">
        <f>A!D88-A!D89</f>
        <v>138</v>
      </c>
      <c r="N88" s="11">
        <f>SUM(A!P88:P94)/7*A!N$3</f>
        <v>365.04571428571427</v>
      </c>
      <c r="O88" s="4">
        <f>(SUM(A!M73:M79)/A!O$3*1000-SUM(A!P85:P91))/7+A!N87</f>
        <v>121898.55909961785</v>
      </c>
      <c r="P88" s="4">
        <f t="shared" si="1"/>
        <v>15741</v>
      </c>
      <c r="Q88" s="1">
        <f>SUM(A!P85:P91)/7</f>
        <v>18287.571428571428</v>
      </c>
      <c r="S88" s="4"/>
      <c r="T88" s="8"/>
      <c r="U88" s="8"/>
      <c r="V88" s="8"/>
      <c r="Z88" s="10">
        <f t="shared" si="18"/>
        <v>44155</v>
      </c>
      <c r="AA88" s="1">
        <f>AI88*AI$3*2</f>
        <v>3163476</v>
      </c>
      <c r="AB88" s="1">
        <f t="shared" si="19"/>
        <v>291523.85714285716</v>
      </c>
      <c r="AC88" s="1">
        <f t="shared" si="20"/>
        <v>46085.41541622908</v>
      </c>
      <c r="AD88" s="1">
        <f t="shared" si="21"/>
        <v>2095172.943732582</v>
      </c>
      <c r="AF88" s="10">
        <f t="shared" si="15"/>
        <v>44155</v>
      </c>
      <c r="AG88" s="6">
        <f t="shared" si="16"/>
        <v>0.12233737923247474</v>
      </c>
      <c r="AH88" s="6">
        <f t="shared" si="17"/>
        <v>0.86370565894667384</v>
      </c>
      <c r="AI88" s="6">
        <f>V$16/V$57*AI$4</f>
        <v>1.8560254126837119</v>
      </c>
      <c r="AJ88" s="1"/>
    </row>
    <row r="89" spans="2:37" ht="15.6">
      <c r="B89" s="2">
        <f t="shared" si="0"/>
        <v>44156</v>
      </c>
      <c r="C89" s="1">
        <v>902528</v>
      </c>
      <c r="D89" s="1">
        <v>13884</v>
      </c>
      <c r="E89" s="1">
        <v>593100</v>
      </c>
      <c r="F89" s="1">
        <f>+A!C89-A!D89-A!E89</f>
        <v>295544</v>
      </c>
      <c r="G89" s="1"/>
      <c r="H89" s="4">
        <f>SUM(A!J89:J95)/7*1000000/A!H$3-SUM(A!F89:F95)/7*(1-A!N$3)</f>
        <v>39945.262857142894</v>
      </c>
      <c r="I89" s="7">
        <f>SUM(A!F86:F92)/7</f>
        <v>289172.28571428574</v>
      </c>
      <c r="J89" s="1">
        <v>3630</v>
      </c>
      <c r="K89" s="1">
        <v>46</v>
      </c>
      <c r="L89" s="1"/>
      <c r="M89" s="4">
        <f>A!D89-A!D90</f>
        <v>254</v>
      </c>
      <c r="N89" s="11">
        <f>SUM(A!P89:P95)/7*A!N$3</f>
        <v>368.49142857142857</v>
      </c>
      <c r="O89" s="4">
        <f>(SUM(A!M74:M80)/A!O$3*1000-SUM(A!P86:P92))/7+A!N88</f>
        <v>120899.93609799507</v>
      </c>
      <c r="P89" s="4">
        <f t="shared" si="1"/>
        <v>22964</v>
      </c>
      <c r="Q89" s="1">
        <f>SUM(A!P86:P92)/7</f>
        <v>18134.428571428572</v>
      </c>
      <c r="S89" s="4"/>
      <c r="T89" s="8"/>
      <c r="U89" s="8"/>
      <c r="V89" s="8"/>
      <c r="Z89" s="10">
        <f t="shared" si="18"/>
        <v>44154</v>
      </c>
      <c r="AA89" s="1">
        <f>AI89*AI$3*2</f>
        <v>3163476</v>
      </c>
      <c r="AB89" s="1">
        <f t="shared" si="19"/>
        <v>289172.28571428574</v>
      </c>
      <c r="AC89" s="1">
        <f t="shared" si="20"/>
        <v>46419.341755218113</v>
      </c>
      <c r="AD89" s="1">
        <f t="shared" si="21"/>
        <v>1982259.68678925</v>
      </c>
      <c r="AF89" s="10">
        <f t="shared" si="15"/>
        <v>44154</v>
      </c>
      <c r="AG89" s="6">
        <f t="shared" si="16"/>
        <v>0.12393252597264116</v>
      </c>
      <c r="AH89" s="6">
        <f t="shared" si="17"/>
        <v>0.8579748542959329</v>
      </c>
      <c r="AI89" s="6">
        <f>V$16/V$57*AI$4</f>
        <v>1.8560254126837119</v>
      </c>
      <c r="AJ89" s="1"/>
    </row>
    <row r="90" spans="2:37" ht="15.6">
      <c r="B90" s="2">
        <f t="shared" si="0"/>
        <v>44155</v>
      </c>
      <c r="C90" s="1">
        <v>879564</v>
      </c>
      <c r="D90" s="1">
        <v>13630</v>
      </c>
      <c r="E90" s="1">
        <v>579100</v>
      </c>
      <c r="F90" s="1">
        <f>+A!C90-A!D90-A!E90</f>
        <v>286834</v>
      </c>
      <c r="G90" s="1"/>
      <c r="H90" s="4">
        <f>SUM(A!J90:J96)/7*1000000/A!H$3-SUM(A!F90:F96)/7*(1-A!N$3)</f>
        <v>39931.486984126968</v>
      </c>
      <c r="I90" s="7">
        <f>SUM(A!F87:F93)/7</f>
        <v>286473.14285714284</v>
      </c>
      <c r="J90" s="1">
        <v>3615</v>
      </c>
      <c r="K90" s="1">
        <v>101</v>
      </c>
      <c r="L90" s="1"/>
      <c r="M90" s="4">
        <f>A!D90-A!D91</f>
        <v>260</v>
      </c>
      <c r="N90" s="11">
        <f>SUM(A!P90:P96)/7*A!N$3</f>
        <v>367.05428571428575</v>
      </c>
      <c r="O90" s="4">
        <f>(SUM(A!M75:M81)/A!O$3*1000-SUM(A!P87:P93))/7+A!N89</f>
        <v>115702.0739025284</v>
      </c>
      <c r="P90" s="4">
        <f t="shared" si="1"/>
        <v>23648</v>
      </c>
      <c r="Q90" s="1">
        <f>SUM(A!P87:P93)/7</f>
        <v>18258</v>
      </c>
      <c r="S90" s="4"/>
      <c r="T90" s="8"/>
      <c r="U90" s="8"/>
      <c r="V90" s="8"/>
      <c r="Z90" s="10">
        <f t="shared" si="18"/>
        <v>44153</v>
      </c>
      <c r="AA90" s="1">
        <f>AI90*AI$3*2</f>
        <v>3163476</v>
      </c>
      <c r="AB90" s="1">
        <f t="shared" si="19"/>
        <v>286473.14285714284</v>
      </c>
      <c r="AC90" s="1">
        <f t="shared" si="20"/>
        <v>45921.367733453524</v>
      </c>
      <c r="AD90" s="1">
        <f t="shared" si="21"/>
        <v>1939696.3623788897</v>
      </c>
      <c r="AF90" s="10">
        <f t="shared" si="15"/>
        <v>44153</v>
      </c>
      <c r="AG90" s="6">
        <f t="shared" si="16"/>
        <v>0.1236182112887252</v>
      </c>
      <c r="AH90" s="6">
        <f t="shared" si="17"/>
        <v>0.85628267940172798</v>
      </c>
      <c r="AI90" s="6">
        <f>V$16/V$57*AI$4</f>
        <v>1.8560254126837119</v>
      </c>
      <c r="AJ90" s="1"/>
    </row>
    <row r="91" spans="2:37" ht="15.6">
      <c r="B91" s="2">
        <f t="shared" si="0"/>
        <v>44154</v>
      </c>
      <c r="C91" s="1">
        <v>855916</v>
      </c>
      <c r="D91" s="1">
        <v>13370</v>
      </c>
      <c r="E91" s="1">
        <v>562700</v>
      </c>
      <c r="F91" s="1">
        <f>+A!C91-A!D91-A!E91</f>
        <v>279846</v>
      </c>
      <c r="G91" s="1"/>
      <c r="H91" s="4">
        <f>SUM(A!J91:J97)/7*1000000/A!H$3-SUM(A!F91:F97)/7*(1-A!N$3)</f>
        <v>40068.248571428587</v>
      </c>
      <c r="I91" s="7">
        <f>SUM(A!F88:F94)/7</f>
        <v>283238.71428571426</v>
      </c>
      <c r="J91" s="1">
        <v>3588</v>
      </c>
      <c r="K91" s="1">
        <v>109</v>
      </c>
      <c r="L91" s="1"/>
      <c r="M91" s="4">
        <f>A!D91-A!D92</f>
        <v>251</v>
      </c>
      <c r="N91" s="11">
        <f>SUM(A!P91:P97)/7*A!N$3</f>
        <v>366.75142857142856</v>
      </c>
      <c r="O91" s="4">
        <f>(SUM(A!M76:M82)/A!O$3*1000-SUM(A!P88:P94))/7+A!N90</f>
        <v>110262.17997277914</v>
      </c>
      <c r="P91" s="4">
        <f t="shared" si="1"/>
        <v>22609</v>
      </c>
      <c r="Q91" s="1">
        <f>SUM(A!P88:P94)/7</f>
        <v>18252.285714285714</v>
      </c>
      <c r="S91" s="4"/>
      <c r="T91" s="8"/>
      <c r="U91" s="8"/>
      <c r="V91" s="8"/>
      <c r="Z91" s="10">
        <f t="shared" si="18"/>
        <v>44152</v>
      </c>
      <c r="AA91" s="1">
        <f>AI91*AI$3*2</f>
        <v>3163476</v>
      </c>
      <c r="AB91" s="1">
        <f t="shared" si="19"/>
        <v>283238.71428571426</v>
      </c>
      <c r="AC91" s="1">
        <f t="shared" si="20"/>
        <v>45372.370727938782</v>
      </c>
      <c r="AD91" s="1">
        <f t="shared" si="21"/>
        <v>1848176.0335801993</v>
      </c>
      <c r="AF91" s="10">
        <f t="shared" si="15"/>
        <v>44152</v>
      </c>
      <c r="AG91" s="6">
        <f t="shared" si="16"/>
        <v>0.1232946965050179</v>
      </c>
      <c r="AH91" s="6">
        <f t="shared" si="17"/>
        <v>0.85137896206644459</v>
      </c>
      <c r="AI91" s="6">
        <f>V$16/V$57*AI$4</f>
        <v>1.8560254126837119</v>
      </c>
      <c r="AJ91" s="1"/>
    </row>
    <row r="92" spans="2:37" ht="15.6">
      <c r="B92" s="2">
        <f t="shared" si="0"/>
        <v>44153</v>
      </c>
      <c r="C92" s="1">
        <v>833307</v>
      </c>
      <c r="D92" s="1">
        <f>+D93+305</f>
        <v>13119</v>
      </c>
      <c r="E92" s="1">
        <f>564500-18000</f>
        <v>546500</v>
      </c>
      <c r="F92" s="1">
        <f>+A!C92-A!D92-A!E92</f>
        <v>273688</v>
      </c>
      <c r="G92" s="1"/>
      <c r="H92" s="4">
        <f>SUM(A!J92:J98)/7*1000000/A!H$3-SUM(A!F92:F98)/7*(1-A!N$3)</f>
        <v>39453.986666666722</v>
      </c>
      <c r="I92" s="7">
        <f>SUM(A!F89:F95)/7</f>
        <v>279706</v>
      </c>
      <c r="J92" s="1">
        <v>3561</v>
      </c>
      <c r="K92" s="1">
        <v>52</v>
      </c>
      <c r="L92" s="1"/>
      <c r="M92" s="4">
        <f>A!D92-A!D93</f>
        <v>305</v>
      </c>
      <c r="N92" s="11">
        <f>SUM(A!P92:P98)/7*A!N$3</f>
        <v>364.62857142857143</v>
      </c>
      <c r="O92" s="4">
        <f>(SUM(A!M77:M83)/A!O$3*1000-SUM(A!P89:P95))/7+A!N91</f>
        <v>109775.5046087002</v>
      </c>
      <c r="P92" s="4">
        <f t="shared" si="1"/>
        <v>17561</v>
      </c>
      <c r="Q92" s="1">
        <f>SUM(A!P89:P95)/7</f>
        <v>18424.571428571428</v>
      </c>
      <c r="S92" s="4"/>
      <c r="T92" s="8"/>
      <c r="U92" s="8"/>
      <c r="V92" s="8"/>
      <c r="Z92" s="10">
        <f t="shared" si="18"/>
        <v>44151</v>
      </c>
      <c r="AA92" s="1">
        <f>AI92*AI$3*2</f>
        <v>3163476</v>
      </c>
      <c r="AB92" s="1">
        <f t="shared" si="19"/>
        <v>279706</v>
      </c>
      <c r="AC92" s="1">
        <f t="shared" si="20"/>
        <v>44875.700270963403</v>
      </c>
      <c r="AD92" s="1">
        <f t="shared" si="21"/>
        <v>1753520.3606266766</v>
      </c>
      <c r="AF92" s="10">
        <f t="shared" si="15"/>
        <v>44151</v>
      </c>
      <c r="AG92" s="6">
        <f t="shared" si="16"/>
        <v>0.12367076003592375</v>
      </c>
      <c r="AH92" s="6">
        <f t="shared" si="17"/>
        <v>0.84649423108541511</v>
      </c>
      <c r="AI92" s="6">
        <f>V$16/V$57*AI$4</f>
        <v>1.8560254126837119</v>
      </c>
      <c r="AJ92" s="1" t="str">
        <f>AJ85</f>
        <v>x</v>
      </c>
    </row>
    <row r="93" spans="2:37" ht="15.6">
      <c r="B93" s="2">
        <f t="shared" si="0"/>
        <v>44152</v>
      </c>
      <c r="C93" s="1">
        <v>815746</v>
      </c>
      <c r="D93" s="1">
        <f>+D94+267</f>
        <v>12814</v>
      </c>
      <c r="E93" s="1">
        <f>+E94+15000</f>
        <v>530200</v>
      </c>
      <c r="F93" s="1">
        <f>+A!C93-A!D93-A!E93</f>
        <v>272732</v>
      </c>
      <c r="G93" s="1"/>
      <c r="H93" s="4">
        <f>SUM(A!J93:J99)/7*1000000/A!H$3-SUM(A!F93:F99)/7*(1-A!N$3)</f>
        <v>38782.395555555559</v>
      </c>
      <c r="I93" s="7">
        <f>SUM(A!F90:F96)/7</f>
        <v>275768</v>
      </c>
      <c r="J93" s="1">
        <v>3517</v>
      </c>
      <c r="K93" s="1">
        <v>108</v>
      </c>
      <c r="L93" s="1"/>
      <c r="M93" s="4">
        <f>A!D93-A!D94</f>
        <v>267</v>
      </c>
      <c r="N93" s="11">
        <f>SUM(A!P93:P99)/7*A!N$3</f>
        <v>367.27428571428572</v>
      </c>
      <c r="O93" s="4">
        <f>(SUM(A!M78:M84)/A!O$3*1000-SUM(A!P90:P96))/7+A!N92</f>
        <v>105133.93700465896</v>
      </c>
      <c r="P93" s="4">
        <f t="shared" si="1"/>
        <v>14419</v>
      </c>
      <c r="Q93" s="1">
        <f>SUM(A!P90:P96)/7</f>
        <v>18352.714285714286</v>
      </c>
      <c r="S93" s="4"/>
      <c r="T93" s="8"/>
      <c r="U93" s="8"/>
      <c r="V93" s="8"/>
      <c r="Z93" s="10">
        <f t="shared" si="18"/>
        <v>44150</v>
      </c>
      <c r="AA93" s="1">
        <f>AI93*AI$3*2</f>
        <v>3192174.0000000005</v>
      </c>
      <c r="AB93" s="1">
        <f t="shared" si="19"/>
        <v>275768</v>
      </c>
      <c r="AC93" s="1">
        <f t="shared" si="20"/>
        <v>45444.83675388417</v>
      </c>
      <c r="AD93" s="1">
        <f t="shared" si="21"/>
        <v>1610481.3447304503</v>
      </c>
      <c r="AF93" s="10">
        <f t="shared" si="15"/>
        <v>44150</v>
      </c>
      <c r="AG93" s="6">
        <f t="shared" si="16"/>
        <v>0.12695685028119166</v>
      </c>
      <c r="AH93" s="6">
        <f t="shared" si="17"/>
        <v>0.83748750586036702</v>
      </c>
      <c r="AI93" s="6">
        <f>V$17/V$57*AI$4</f>
        <v>1.8728626566815161</v>
      </c>
      <c r="AJ93" s="1"/>
    </row>
    <row r="94" spans="2:37" ht="15.6">
      <c r="B94" s="2">
        <f t="shared" ref="B94:B157" si="27">+B95+1</f>
        <v>44151</v>
      </c>
      <c r="C94" s="1">
        <f>+C95+10824</f>
        <v>801327</v>
      </c>
      <c r="D94" s="1">
        <v>12547</v>
      </c>
      <c r="E94" s="1">
        <v>515200</v>
      </c>
      <c r="F94" s="1">
        <f>+A!C94-A!D94-A!E94</f>
        <v>273580</v>
      </c>
      <c r="G94" s="1"/>
      <c r="H94" s="4">
        <f>SUM(A!J94:J100)/7*1000000/A!H$3-SUM(A!F94:F100)/7*(1-A!N$3)</f>
        <v>38319.842539682548</v>
      </c>
      <c r="I94" s="7">
        <f>SUM(A!F91:F97)/7</f>
        <v>271533.85714285716</v>
      </c>
      <c r="J94" s="1">
        <v>3436</v>
      </c>
      <c r="K94" s="1">
        <v>113</v>
      </c>
      <c r="L94" s="1"/>
      <c r="M94" s="4">
        <f>A!D94-A!D95</f>
        <v>62</v>
      </c>
      <c r="N94" s="11">
        <f>SUM(A!P94:P100)/7*A!N$3</f>
        <v>369.88285714285718</v>
      </c>
      <c r="O94" s="4">
        <f>(SUM(A!M79:M85)/A!O$3*1000-SUM(A!P91:P97))/7+A!N93</f>
        <v>101120.94507040778</v>
      </c>
      <c r="P94" s="4">
        <f t="shared" si="1"/>
        <v>10824</v>
      </c>
      <c r="Q94" s="1">
        <f>SUM(A!P91:P97)/7</f>
        <v>18337.571428571428</v>
      </c>
      <c r="S94" s="4"/>
      <c r="T94" s="8"/>
      <c r="U94" s="8"/>
      <c r="V94" s="8"/>
      <c r="Z94" s="10">
        <f t="shared" si="18"/>
        <v>44149</v>
      </c>
      <c r="AA94" s="1">
        <f>AI94*AI$3*2</f>
        <v>3192174.0000000005</v>
      </c>
      <c r="AB94" s="1">
        <f t="shared" si="19"/>
        <v>271533.85714285716</v>
      </c>
      <c r="AC94" s="1">
        <f t="shared" si="20"/>
        <v>46159.078476388284</v>
      </c>
      <c r="AD94" s="1">
        <f t="shared" si="21"/>
        <v>1537616.5740410865</v>
      </c>
      <c r="AF94" s="10">
        <f t="shared" si="15"/>
        <v>44149</v>
      </c>
      <c r="AG94" s="6">
        <f t="shared" si="16"/>
        <v>0.1307293786225848</v>
      </c>
      <c r="AH94" s="6">
        <f t="shared" si="17"/>
        <v>0.83360151153260997</v>
      </c>
      <c r="AI94" s="6">
        <f>V$17/V$57*AI$4</f>
        <v>1.8728626566815161</v>
      </c>
      <c r="AJ94" s="1"/>
    </row>
    <row r="95" spans="2:37" ht="15.6">
      <c r="B95" s="2">
        <f t="shared" si="27"/>
        <v>44150</v>
      </c>
      <c r="C95" s="1">
        <f>+C96+16947</f>
        <v>790503</v>
      </c>
      <c r="D95" s="1">
        <f>+D96+107</f>
        <v>12485</v>
      </c>
      <c r="E95" s="1">
        <v>502300</v>
      </c>
      <c r="F95" s="1">
        <f>+A!C95-A!D95-A!E95</f>
        <v>275718</v>
      </c>
      <c r="G95" s="1"/>
      <c r="H95" s="4">
        <f>SUM(A!J95:J101)/7*1000000/A!H$3-SUM(A!F95:F101)/7*(1-A!N$3)</f>
        <v>38819.786666666681</v>
      </c>
      <c r="I95" s="7">
        <f>SUM(A!F92:F98)/7</f>
        <v>266951.71428571426</v>
      </c>
      <c r="J95" s="1">
        <v>3385</v>
      </c>
      <c r="K95" s="1">
        <v>79</v>
      </c>
      <c r="L95" s="1"/>
      <c r="M95" s="4">
        <f>A!D95-A!D96</f>
        <v>107</v>
      </c>
      <c r="N95" s="11">
        <f>SUM(A!P95:P101)/7*A!N$3</f>
        <v>377.13714285714281</v>
      </c>
      <c r="O95" s="4">
        <f>(SUM(A!M80:M86)/A!O$3*1000-SUM(A!P92:P98))/7+A!N94</f>
        <v>93953.35246924567</v>
      </c>
      <c r="P95" s="4">
        <f t="shared" ref="P95:P158" si="28">C95-C96</f>
        <v>16947</v>
      </c>
      <c r="Q95" s="1">
        <f>SUM(A!P92:P98)/7</f>
        <v>18231.428571428572</v>
      </c>
      <c r="S95" s="4"/>
      <c r="T95" s="8"/>
      <c r="U95" s="8"/>
      <c r="V95" s="8"/>
      <c r="Z95" s="10">
        <f t="shared" si="18"/>
        <v>44148</v>
      </c>
      <c r="AA95" s="1">
        <f>AI95*AI$3*2</f>
        <v>3192174.0000000005</v>
      </c>
      <c r="AB95" s="1">
        <f t="shared" si="19"/>
        <v>266951.71428571426</v>
      </c>
      <c r="AC95" s="1">
        <f t="shared" si="20"/>
        <v>47009.821124168986</v>
      </c>
      <c r="AD95" s="1">
        <f t="shared" si="21"/>
        <v>1478619.1332147818</v>
      </c>
      <c r="AF95" s="10">
        <f t="shared" si="15"/>
        <v>44148</v>
      </c>
      <c r="AG95" s="6">
        <f t="shared" si="16"/>
        <v>0.13503853207133237</v>
      </c>
      <c r="AH95" s="6">
        <f t="shared" si="17"/>
        <v>0.83081053255406345</v>
      </c>
      <c r="AI95" s="6">
        <f>V$17/V$57*AI$4</f>
        <v>1.8728626566815161</v>
      </c>
      <c r="AJ95" s="1"/>
    </row>
    <row r="96" spans="2:37" ht="15.6">
      <c r="B96" s="2">
        <f t="shared" si="27"/>
        <v>44149</v>
      </c>
      <c r="C96" s="1">
        <v>773556</v>
      </c>
      <c r="D96" s="1">
        <v>12378</v>
      </c>
      <c r="E96" s="1">
        <v>493200</v>
      </c>
      <c r="F96" s="1">
        <f>+A!C96-A!D96-A!E96</f>
        <v>267978</v>
      </c>
      <c r="G96" s="1"/>
      <c r="H96" s="4">
        <f>SUM(A!J96:J102)/7*1000000/A!H$3-SUM(A!F96:F102)/7*(1-A!N$3)</f>
        <v>39404.130158730113</v>
      </c>
      <c r="I96" s="7">
        <f>SUM(A!F93:F99)/7</f>
        <v>262013.42857142858</v>
      </c>
      <c r="J96" s="1">
        <v>3325</v>
      </c>
      <c r="K96" s="1">
        <v>40</v>
      </c>
      <c r="L96" s="1"/>
      <c r="M96" s="4">
        <f>A!D96-A!D97</f>
        <v>178</v>
      </c>
      <c r="N96" s="11">
        <f>SUM(A!P96:P102)/7*A!N$3</f>
        <v>374.48</v>
      </c>
      <c r="O96" s="4">
        <f>(SUM(A!M81:M87)/A!O$3*1000-SUM(A!P93:P99))/7+A!N95</f>
        <v>91996.148083547087</v>
      </c>
      <c r="P96" s="4">
        <f t="shared" si="28"/>
        <v>22461</v>
      </c>
      <c r="Q96" s="1">
        <f>SUM(A!P93:P99)/7</f>
        <v>18363.714285714286</v>
      </c>
      <c r="S96" s="4"/>
      <c r="T96" s="8"/>
      <c r="U96" s="8"/>
      <c r="V96" s="8"/>
      <c r="Z96" s="10">
        <f t="shared" si="18"/>
        <v>44147</v>
      </c>
      <c r="AA96" s="1">
        <f>AI96*AI$3*2</f>
        <v>3192174.0000000005</v>
      </c>
      <c r="AB96" s="1">
        <f t="shared" si="19"/>
        <v>262013.42857142858</v>
      </c>
      <c r="AC96" s="1">
        <f t="shared" si="20"/>
        <v>47618.197748734689</v>
      </c>
      <c r="AD96" s="1">
        <f t="shared" si="21"/>
        <v>1315024.4075158334</v>
      </c>
      <c r="AF96" s="10">
        <f t="shared" si="15"/>
        <v>44147</v>
      </c>
      <c r="AG96" s="6">
        <f t="shared" si="16"/>
        <v>0.13877565647319992</v>
      </c>
      <c r="AH96" s="6">
        <f t="shared" si="17"/>
        <v>0.81651301690554201</v>
      </c>
      <c r="AI96" s="6">
        <f>V$17/V$57*AI$4</f>
        <v>1.8728626566815161</v>
      </c>
      <c r="AJ96" s="1"/>
    </row>
    <row r="97" spans="2:37" ht="15.6">
      <c r="B97" s="2">
        <f t="shared" si="27"/>
        <v>44148</v>
      </c>
      <c r="C97" s="1">
        <v>751095</v>
      </c>
      <c r="D97" s="1">
        <v>12200</v>
      </c>
      <c r="E97" s="1">
        <v>481700</v>
      </c>
      <c r="F97" s="1">
        <f>+A!C97-A!D97-A!E97</f>
        <v>257195</v>
      </c>
      <c r="G97" s="1"/>
      <c r="H97" s="4">
        <f>SUM(A!J97:J103)/7*1000000/A!H$3-SUM(A!F97:F103)/7*(1-A!N$3)</f>
        <v>40052.941587301553</v>
      </c>
      <c r="I97" s="7">
        <f>SUM(A!F94:F100)/7</f>
        <v>256550.85714285713</v>
      </c>
      <c r="J97" s="1">
        <v>3299</v>
      </c>
      <c r="K97" s="1">
        <v>85</v>
      </c>
      <c r="L97" s="1"/>
      <c r="M97" s="4">
        <f>A!D97-A!D98</f>
        <v>218</v>
      </c>
      <c r="N97" s="11">
        <f>SUM(A!P97:P103)/7*A!N$3</f>
        <v>377.16</v>
      </c>
      <c r="O97" s="4">
        <f>(SUM(A!M82:M88)/A!O$3*1000-SUM(A!P94:P100))/7+A!N96</f>
        <v>90816.106393760128</v>
      </c>
      <c r="P97" s="4">
        <f t="shared" si="28"/>
        <v>23542</v>
      </c>
      <c r="Q97" s="1">
        <f>SUM(A!P94:P100)/7</f>
        <v>18494.142857142859</v>
      </c>
      <c r="S97" s="4"/>
      <c r="T97" s="8"/>
      <c r="U97" s="8"/>
      <c r="V97" s="8"/>
      <c r="Z97" s="10">
        <f t="shared" si="18"/>
        <v>44146</v>
      </c>
      <c r="AA97" s="1">
        <f>AI97*AI$3*2</f>
        <v>3192174.0000000005</v>
      </c>
      <c r="AB97" s="1">
        <f t="shared" si="19"/>
        <v>256550.85714285713</v>
      </c>
      <c r="AC97" s="1">
        <f t="shared" si="20"/>
        <v>48691.009998865789</v>
      </c>
      <c r="AD97" s="1">
        <f t="shared" si="21"/>
        <v>1165174.3592878501</v>
      </c>
      <c r="AF97" s="10">
        <f t="shared" si="15"/>
        <v>44146</v>
      </c>
      <c r="AG97" s="6">
        <f t="shared" si="16"/>
        <v>0.14395833936943123</v>
      </c>
      <c r="AH97" s="6">
        <f t="shared" si="17"/>
        <v>0.80096499167494239</v>
      </c>
      <c r="AI97" s="6">
        <f>V$17/V$57*AI$4</f>
        <v>1.8728626566815161</v>
      </c>
      <c r="AJ97" s="1"/>
    </row>
    <row r="98" spans="2:37" ht="15.6">
      <c r="B98" s="2">
        <f t="shared" si="27"/>
        <v>44147</v>
      </c>
      <c r="C98" s="1">
        <v>727553</v>
      </c>
      <c r="D98" s="1">
        <v>11982</v>
      </c>
      <c r="E98" s="1">
        <v>467800</v>
      </c>
      <c r="F98" s="1">
        <f>+A!C98-A!D98-A!E98</f>
        <v>247771</v>
      </c>
      <c r="G98" s="1"/>
      <c r="H98" s="4">
        <f>SUM(A!J98:J104)/7*1000000/A!H$3-SUM(A!F98:F104)/7*(1-A!N$3)</f>
        <v>40357.888253968238</v>
      </c>
      <c r="I98" s="7">
        <f>SUM(A!F95:F101)/7</f>
        <v>250456</v>
      </c>
      <c r="J98" s="1">
        <v>3186</v>
      </c>
      <c r="K98" s="1">
        <v>119</v>
      </c>
      <c r="L98" s="1"/>
      <c r="M98" s="4">
        <f>A!D98-A!D99</f>
        <v>215</v>
      </c>
      <c r="N98" s="11">
        <f>SUM(A!P98:P104)/7*A!N$3</f>
        <v>371.34285714285716</v>
      </c>
      <c r="O98" s="4">
        <f>(SUM(A!M83:M89)/A!O$3*1000-SUM(A!P95:P101))/7+A!N97</f>
        <v>83912.597261163173</v>
      </c>
      <c r="P98" s="4">
        <f t="shared" si="28"/>
        <v>21866</v>
      </c>
      <c r="Q98" s="1">
        <f>SUM(A!P95:P101)/7</f>
        <v>18856.857142857141</v>
      </c>
      <c r="S98" s="4"/>
      <c r="T98" s="8"/>
      <c r="U98" s="8"/>
      <c r="V98" s="8"/>
      <c r="Z98" s="10">
        <f t="shared" si="18"/>
        <v>44145</v>
      </c>
      <c r="AA98" s="1">
        <f>AI98*AI$3*2</f>
        <v>3192174.0000000005</v>
      </c>
      <c r="AB98" s="1">
        <f t="shared" si="19"/>
        <v>250456</v>
      </c>
      <c r="AC98" s="1">
        <f t="shared" si="20"/>
        <v>49152.670152223713</v>
      </c>
      <c r="AD98" s="1">
        <f t="shared" si="21"/>
        <v>1020318.6340325058</v>
      </c>
      <c r="AF98" s="10">
        <f t="shared" si="15"/>
        <v>44145</v>
      </c>
      <c r="AG98" s="6">
        <f t="shared" si="16"/>
        <v>0.14797528823836975</v>
      </c>
      <c r="AH98" s="6">
        <f t="shared" si="17"/>
        <v>0.78285273385244658</v>
      </c>
      <c r="AI98" s="6">
        <f>V$17/V$57*AI$4</f>
        <v>1.8728626566815161</v>
      </c>
      <c r="AJ98" s="1"/>
    </row>
    <row r="99" spans="2:37" ht="15.6">
      <c r="B99" s="2">
        <f t="shared" si="27"/>
        <v>44146</v>
      </c>
      <c r="C99" s="1">
        <v>705687</v>
      </c>
      <c r="D99" s="1">
        <f>+D100+261</f>
        <v>11767</v>
      </c>
      <c r="E99" s="1">
        <v>454800</v>
      </c>
      <c r="F99" s="1">
        <f>+A!C99-A!D99-A!E99</f>
        <v>239120</v>
      </c>
      <c r="G99" s="1"/>
      <c r="H99" s="4">
        <f>SUM(A!J99:J105)/7*1000000/A!H$3-SUM(A!F99:F105)/7*(1-A!N$3)</f>
        <v>40970.154285714292</v>
      </c>
      <c r="I99" s="7">
        <f>SUM(A!F96:F102)/7</f>
        <v>243627.14285714287</v>
      </c>
      <c r="J99" s="1">
        <v>3127</v>
      </c>
      <c r="K99" s="1">
        <v>80</v>
      </c>
      <c r="L99" s="1"/>
      <c r="M99" s="4">
        <f>A!D99-A!D100</f>
        <v>261</v>
      </c>
      <c r="N99" s="11">
        <f>SUM(A!P99:P105)/7*A!N$3</f>
        <v>365.72571428571428</v>
      </c>
      <c r="O99" s="4">
        <f>(SUM(A!M84:M90)/A!O$3*1000-SUM(A!P96:P102))/7+A!N98</f>
        <v>75349.902664502952</v>
      </c>
      <c r="P99" s="4">
        <f t="shared" si="28"/>
        <v>18487</v>
      </c>
      <c r="Q99" s="1">
        <f>SUM(A!P96:P102)/7</f>
        <v>18724</v>
      </c>
      <c r="S99" s="4"/>
      <c r="T99" s="8"/>
      <c r="U99" s="8"/>
      <c r="V99" s="8"/>
      <c r="W99" s="1"/>
      <c r="X99" s="1"/>
      <c r="Z99" s="10">
        <f t="shared" si="18"/>
        <v>44144</v>
      </c>
      <c r="AA99" s="1">
        <f>AI99*AI$3*2</f>
        <v>3192174.0000000005</v>
      </c>
      <c r="AB99" s="1">
        <f t="shared" si="19"/>
        <v>243627.14285714287</v>
      </c>
      <c r="AC99" s="1">
        <f t="shared" si="20"/>
        <v>48520.353964731541</v>
      </c>
      <c r="AD99" s="1">
        <f t="shared" si="21"/>
        <v>929632.6465723794</v>
      </c>
      <c r="AF99" s="10">
        <f t="shared" si="15"/>
        <v>44144</v>
      </c>
      <c r="AG99" s="6">
        <f t="shared" si="16"/>
        <v>0.14999925190390914</v>
      </c>
      <c r="AH99" s="6">
        <f t="shared" si="17"/>
        <v>0.77174648723243455</v>
      </c>
      <c r="AI99" s="6">
        <f>V$17/V$57*AI$4</f>
        <v>1.8728626566815161</v>
      </c>
      <c r="AJ99" s="1" t="str">
        <f>AJ92</f>
        <v>x</v>
      </c>
    </row>
    <row r="100" spans="2:37" ht="15.6">
      <c r="B100" s="2">
        <f t="shared" si="27"/>
        <v>44145</v>
      </c>
      <c r="C100" s="1">
        <v>687200</v>
      </c>
      <c r="D100" s="1">
        <v>11506</v>
      </c>
      <c r="E100" s="1">
        <v>441200</v>
      </c>
      <c r="F100" s="1">
        <f>+A!C100-A!D100-A!E100</f>
        <v>234494</v>
      </c>
      <c r="G100" s="1"/>
      <c r="H100" s="4">
        <f>SUM(A!J100:J106)/7*1000000/A!H$3-SUM(A!F100:F106)/7*(1-A!N$3)</f>
        <v>41103.236507936497</v>
      </c>
      <c r="I100" s="7">
        <f>SUM(A!F97:F103)/7</f>
        <v>236667.71428571429</v>
      </c>
      <c r="J100" s="1">
        <v>3059</v>
      </c>
      <c r="K100" s="1">
        <v>81</v>
      </c>
      <c r="L100" s="1"/>
      <c r="M100" s="4">
        <f>A!D100-A!D101</f>
        <v>154</v>
      </c>
      <c r="N100" s="11">
        <f>SUM(A!P100:P106)/7*A!N$3</f>
        <v>362.34571428571428</v>
      </c>
      <c r="O100" s="4">
        <f>(SUM(A!M85:M91)/A!O$3*1000-SUM(A!P97:P103))/7+A!N99</f>
        <v>67986.289290687317</v>
      </c>
      <c r="P100" s="4">
        <f t="shared" si="28"/>
        <v>15332</v>
      </c>
      <c r="Q100" s="1">
        <f>SUM(A!P97:P103)/7</f>
        <v>18858</v>
      </c>
      <c r="S100" s="4"/>
      <c r="T100" s="8"/>
      <c r="U100" s="8"/>
      <c r="V100" s="8"/>
      <c r="W100" s="1"/>
      <c r="X100" s="1"/>
      <c r="Z100" s="10">
        <f t="shared" si="18"/>
        <v>44143</v>
      </c>
      <c r="AA100" s="1">
        <f>AI100*AI$3*2</f>
        <v>3081890</v>
      </c>
      <c r="AB100" s="1">
        <f t="shared" si="19"/>
        <v>236667.71428571429</v>
      </c>
      <c r="AC100" s="1">
        <f t="shared" si="20"/>
        <v>46927.700457943414</v>
      </c>
      <c r="AD100" s="1">
        <f t="shared" si="21"/>
        <v>931060.54697512754</v>
      </c>
      <c r="AF100" s="10">
        <f t="shared" si="15"/>
        <v>44143</v>
      </c>
      <c r="AG100" s="6">
        <f t="shared" si="16"/>
        <v>0.14995196322941504</v>
      </c>
      <c r="AH100" s="6">
        <f t="shared" si="17"/>
        <v>0.77777351686503315</v>
      </c>
      <c r="AI100" s="6">
        <f>V$18/V$57*AI$4</f>
        <v>1.8081585443024712</v>
      </c>
      <c r="AJ100" s="1"/>
    </row>
    <row r="101" spans="2:37" ht="15.6">
      <c r="B101" s="2">
        <f t="shared" si="27"/>
        <v>44144</v>
      </c>
      <c r="C101" s="1">
        <v>671868</v>
      </c>
      <c r="D101" s="1">
        <v>11352</v>
      </c>
      <c r="E101" s="1">
        <v>429600</v>
      </c>
      <c r="F101" s="1">
        <f>+A!C101-A!D101-A!E101</f>
        <v>230916</v>
      </c>
      <c r="G101" s="1"/>
      <c r="H101" s="4">
        <f>SUM(A!J101:J107)/7*1000000/A!H$3-SUM(A!F101:F107)/7*(1-A!N$3)</f>
        <v>40461.241587301542</v>
      </c>
      <c r="I101" s="7">
        <f>SUM(A!F98:F104)/7</f>
        <v>229281.71428571429</v>
      </c>
      <c r="J101" s="1">
        <v>3005</v>
      </c>
      <c r="K101" s="1">
        <v>88</v>
      </c>
      <c r="L101" s="1"/>
      <c r="M101" s="4">
        <f>A!D101-A!D102</f>
        <v>63</v>
      </c>
      <c r="N101" s="11">
        <f>SUM(A!P101:P107)/7*A!N$3</f>
        <v>362.40285714285716</v>
      </c>
      <c r="O101" s="4">
        <f>(SUM(A!M86:M92)/A!O$3*1000-SUM(A!P98:P104))/7+A!N100</f>
        <v>62777.247562163007</v>
      </c>
      <c r="P101" s="4">
        <f t="shared" si="28"/>
        <v>13363</v>
      </c>
      <c r="Q101" s="1">
        <f>SUM(A!P98:P104)/7</f>
        <v>18567.142857142859</v>
      </c>
      <c r="S101" s="4"/>
      <c r="T101" s="8"/>
      <c r="U101" s="8"/>
      <c r="V101" s="8"/>
      <c r="W101" s="1"/>
      <c r="X101" s="1"/>
      <c r="Z101" s="10">
        <f t="shared" si="18"/>
        <v>44142</v>
      </c>
      <c r="AA101" s="1">
        <f>AI101*AI$3*2</f>
        <v>3081890</v>
      </c>
      <c r="AB101" s="1">
        <f t="shared" si="19"/>
        <v>229281.71428571429</v>
      </c>
      <c r="AC101" s="1">
        <f t="shared" si="20"/>
        <v>44447.147633738496</v>
      </c>
      <c r="AD101" s="1">
        <f t="shared" si="21"/>
        <v>889929.01485363755</v>
      </c>
      <c r="AF101" s="10">
        <f t="shared" si="15"/>
        <v>44142</v>
      </c>
      <c r="AG101" s="6">
        <f t="shared" si="16"/>
        <v>0.14737431809058871</v>
      </c>
      <c r="AH101" s="6">
        <f t="shared" si="17"/>
        <v>0.77582431038396915</v>
      </c>
      <c r="AI101" s="6">
        <f>V$18/V$57*AI$4</f>
        <v>1.8081585443024712</v>
      </c>
      <c r="AJ101" s="1"/>
    </row>
    <row r="102" spans="2:37" ht="15.6">
      <c r="B102" s="2">
        <f t="shared" si="27"/>
        <v>44143</v>
      </c>
      <c r="C102" s="1">
        <v>658505</v>
      </c>
      <c r="D102" s="1">
        <v>11289</v>
      </c>
      <c r="E102" s="1">
        <v>419300</v>
      </c>
      <c r="F102" s="1">
        <f>+A!C102-A!D102-A!E102</f>
        <v>227916</v>
      </c>
      <c r="G102" s="1"/>
      <c r="H102" s="4">
        <f>SUM(A!J102:J108)/7*1000000/A!H$3-SUM(A!F102:F108)/7*(1-A!N$3)</f>
        <v>39117.71111111113</v>
      </c>
      <c r="I102" s="7">
        <f>SUM(A!F99:F105)/7</f>
        <v>221750.57142857142</v>
      </c>
      <c r="J102" s="1">
        <v>2904</v>
      </c>
      <c r="K102" s="1">
        <v>41</v>
      </c>
      <c r="L102" s="1"/>
      <c r="M102" s="4">
        <f>A!D102-A!D103</f>
        <v>63</v>
      </c>
      <c r="N102" s="11">
        <f>SUM(A!P102:P108)/7*A!N$3</f>
        <v>358.78571428571428</v>
      </c>
      <c r="O102" s="4">
        <f>(SUM(A!M87:M93)/A!O$3*1000-SUM(A!P99:P105))/7+A!N101</f>
        <v>64000.422225828406</v>
      </c>
      <c r="P102" s="4">
        <f t="shared" si="28"/>
        <v>16017</v>
      </c>
      <c r="Q102" s="1">
        <f>SUM(A!P99:P105)/7</f>
        <v>18286.285714285714</v>
      </c>
      <c r="S102" s="4"/>
      <c r="T102" s="8"/>
      <c r="U102" s="8"/>
      <c r="V102" s="8"/>
      <c r="W102" s="1"/>
      <c r="X102" s="1"/>
      <c r="Z102" s="10">
        <f t="shared" si="18"/>
        <v>44141</v>
      </c>
      <c r="AA102" s="1">
        <f>AI102*AI$3*2</f>
        <v>3081890</v>
      </c>
      <c r="AB102" s="1">
        <f t="shared" si="19"/>
        <v>221750.57142857142</v>
      </c>
      <c r="AC102" s="1">
        <f t="shared" si="20"/>
        <v>41375.155565700079</v>
      </c>
      <c r="AD102" s="1">
        <f t="shared" si="21"/>
        <v>836649.22699841601</v>
      </c>
      <c r="AF102" s="10">
        <f t="shared" si="15"/>
        <v>44141</v>
      </c>
      <c r="AG102" s="6">
        <f t="shared" si="16"/>
        <v>0.14285936488114079</v>
      </c>
      <c r="AH102" s="6">
        <f t="shared" si="17"/>
        <v>0.77117944265244898</v>
      </c>
      <c r="AI102" s="6">
        <f>V$18/V$57*AI$4</f>
        <v>1.8081585443024712</v>
      </c>
      <c r="AJ102" s="1"/>
    </row>
    <row r="103" spans="2:37" ht="15.6">
      <c r="B103" s="2">
        <f t="shared" si="27"/>
        <v>44142</v>
      </c>
      <c r="C103" s="1">
        <v>642488</v>
      </c>
      <c r="D103" s="1">
        <v>11226</v>
      </c>
      <c r="E103" s="1">
        <v>412000</v>
      </c>
      <c r="F103" s="1">
        <f>+A!C103-A!D103-A!E103</f>
        <v>219262</v>
      </c>
      <c r="G103" s="1"/>
      <c r="H103" s="4">
        <f>SUM(A!J103:J109)/7*1000000/A!H$3-SUM(A!F103:F109)/7*(1-A!N$3)</f>
        <v>37004.329206349183</v>
      </c>
      <c r="I103" s="7">
        <f>SUM(A!F100:F106)/7</f>
        <v>214086.42857142858</v>
      </c>
      <c r="J103" s="1">
        <v>2839</v>
      </c>
      <c r="K103" s="1">
        <v>78</v>
      </c>
      <c r="L103" s="1"/>
      <c r="M103" s="4">
        <f>A!D103-A!D104</f>
        <v>130</v>
      </c>
      <c r="N103" s="11">
        <f>SUM(A!P103:P109)/7*A!N$3</f>
        <v>353.52857142857147</v>
      </c>
      <c r="O103" s="4">
        <f>(SUM(A!M88:M94)/A!O$3*1000-SUM(A!P100:P106))/7+A!N102</f>
        <v>62700.066717269554</v>
      </c>
      <c r="P103" s="4">
        <f t="shared" si="28"/>
        <v>23399</v>
      </c>
      <c r="Q103" s="1">
        <f>SUM(A!P100:P106)/7</f>
        <v>18117.285714285714</v>
      </c>
      <c r="S103" s="4"/>
      <c r="T103" s="8"/>
      <c r="U103" s="8"/>
      <c r="V103" s="8"/>
      <c r="W103" s="1"/>
      <c r="X103" s="1"/>
      <c r="Z103" s="10">
        <f t="shared" si="18"/>
        <v>44140</v>
      </c>
      <c r="AA103" s="1">
        <f>AI103*AI$3*2</f>
        <v>3081890</v>
      </c>
      <c r="AB103" s="1">
        <f t="shared" si="19"/>
        <v>214086.42857142858</v>
      </c>
      <c r="AC103" s="1">
        <f t="shared" si="20"/>
        <v>38069.185656980771</v>
      </c>
      <c r="AD103" s="1">
        <f t="shared" si="21"/>
        <v>764591.16316430562</v>
      </c>
      <c r="AF103" s="10">
        <f t="shared" si="15"/>
        <v>44140</v>
      </c>
      <c r="AG103" s="6">
        <f t="shared" si="16"/>
        <v>0.13712926393775843</v>
      </c>
      <c r="AH103" s="6">
        <f t="shared" si="17"/>
        <v>0.76144084935329936</v>
      </c>
      <c r="AI103" s="6">
        <f>V$18/V$57*AI$4</f>
        <v>1.8081585443024712</v>
      </c>
      <c r="AJ103" s="1"/>
    </row>
    <row r="104" spans="2:37" ht="15.6">
      <c r="B104" s="2">
        <f t="shared" si="27"/>
        <v>44141</v>
      </c>
      <c r="C104" s="1">
        <v>619089</v>
      </c>
      <c r="D104" s="1">
        <v>11096</v>
      </c>
      <c r="E104" s="1">
        <v>402500</v>
      </c>
      <c r="F104" s="1">
        <f>+A!C104-A!D104-A!E104</f>
        <v>205493</v>
      </c>
      <c r="G104" s="1"/>
      <c r="H104" s="4">
        <f>SUM(A!J104:J110)/7*1000000/A!H$3-SUM(A!F104:F110)/7*(1-A!N$3)</f>
        <v>34341.789841269841</v>
      </c>
      <c r="I104" s="7">
        <f>SUM(A!F101:F107)/7</f>
        <v>206047</v>
      </c>
      <c r="J104" s="1">
        <v>2753</v>
      </c>
      <c r="K104" s="1">
        <v>66</v>
      </c>
      <c r="L104" s="1"/>
      <c r="M104" s="4">
        <f>A!D104-A!D105</f>
        <v>166</v>
      </c>
      <c r="N104" s="11">
        <f>SUM(A!P104:P110)/7*A!N$3</f>
        <v>341.12857142857143</v>
      </c>
      <c r="O104" s="4">
        <f>(SUM(A!M89:M95)/A!O$3*1000-SUM(A!P101:P107))/7+A!N103</f>
        <v>61069.170669528343</v>
      </c>
      <c r="P104" s="4">
        <f t="shared" si="28"/>
        <v>21506</v>
      </c>
      <c r="Q104" s="1">
        <f>SUM(A!P101:P107)/7</f>
        <v>18120.142857142859</v>
      </c>
      <c r="S104" s="4"/>
      <c r="T104" s="8"/>
      <c r="U104" s="8"/>
      <c r="V104" s="8"/>
      <c r="W104" s="8"/>
      <c r="Z104" s="10">
        <f t="shared" si="18"/>
        <v>44139</v>
      </c>
      <c r="AA104" s="1">
        <f>AI104*AI$3*2</f>
        <v>3081890</v>
      </c>
      <c r="AB104" s="1">
        <f t="shared" si="19"/>
        <v>206047</v>
      </c>
      <c r="AC104" s="1">
        <f t="shared" si="20"/>
        <v>34356.151086097583</v>
      </c>
      <c r="AD104" s="1">
        <f t="shared" si="21"/>
        <v>721411.53309462173</v>
      </c>
      <c r="AF104" s="10">
        <f t="shared" si="15"/>
        <v>44139</v>
      </c>
      <c r="AG104" s="6">
        <f t="shared" si="16"/>
        <v>0.12970045616595924</v>
      </c>
      <c r="AH104" s="6">
        <f t="shared" si="17"/>
        <v>0.75782994630635592</v>
      </c>
      <c r="AI104" s="6">
        <f>V$18/V$57*AI$4</f>
        <v>1.8081585443024712</v>
      </c>
      <c r="AJ104" s="1"/>
    </row>
    <row r="105" spans="2:37" ht="15.6">
      <c r="B105" s="2">
        <f t="shared" si="27"/>
        <v>44140</v>
      </c>
      <c r="C105" s="1">
        <v>597583</v>
      </c>
      <c r="D105" s="1">
        <v>10930</v>
      </c>
      <c r="E105" s="1">
        <v>391600</v>
      </c>
      <c r="F105" s="1">
        <f>+A!C105-A!D105-A!E105</f>
        <v>195053</v>
      </c>
      <c r="G105" s="1"/>
      <c r="H105" s="4">
        <f>SUM(A!J105:J111)/7*1000000/A!H$3-SUM(A!F105:F111)/7*(1-A!N$3)</f>
        <v>31394.16063492067</v>
      </c>
      <c r="I105" s="7">
        <f>SUM(A!F102:F108)/7</f>
        <v>197544.28571428571</v>
      </c>
      <c r="J105" s="1">
        <v>2653</v>
      </c>
      <c r="K105" s="1">
        <v>68</v>
      </c>
      <c r="L105" s="1"/>
      <c r="M105" s="4">
        <f>A!D105-A!D106</f>
        <v>118</v>
      </c>
      <c r="N105" s="11">
        <f>SUM(A!P105:P111)/7*A!N$3</f>
        <v>333.05714285714282</v>
      </c>
      <c r="O105" s="4">
        <f>(SUM(A!M90:M96)/A!O$3*1000-SUM(A!P102:P108))/7+A!N104</f>
        <v>57259.195105480816</v>
      </c>
      <c r="P105" s="4">
        <f t="shared" si="28"/>
        <v>19900</v>
      </c>
      <c r="Q105" s="1">
        <f>SUM(A!P102:P108)/7</f>
        <v>17939.285714285714</v>
      </c>
      <c r="S105" s="4"/>
      <c r="T105" s="8"/>
      <c r="U105" s="8"/>
      <c r="V105" s="8"/>
      <c r="W105" s="8"/>
      <c r="Z105" s="10">
        <f t="shared" si="18"/>
        <v>44138</v>
      </c>
      <c r="AA105" s="1">
        <f>AI105*AI$3*2</f>
        <v>3081890</v>
      </c>
      <c r="AB105" s="1">
        <f t="shared" si="19"/>
        <v>197544.28571428571</v>
      </c>
      <c r="AC105" s="1">
        <f t="shared" si="20"/>
        <v>30410.847217843202</v>
      </c>
      <c r="AD105" s="1">
        <f t="shared" si="21"/>
        <v>701288.46947552939</v>
      </c>
      <c r="AF105" s="10">
        <f t="shared" si="15"/>
        <v>44138</v>
      </c>
      <c r="AG105" s="6">
        <f t="shared" si="16"/>
        <v>0.12079883722512232</v>
      </c>
      <c r="AH105" s="6">
        <f t="shared" si="17"/>
        <v>0.76010092142175523</v>
      </c>
      <c r="AI105" s="6">
        <f>V$18/V$57*AI$4</f>
        <v>1.8081585443024712</v>
      </c>
      <c r="AJ105" s="1"/>
    </row>
    <row r="106" spans="2:37" ht="15.6">
      <c r="B106" s="2">
        <f t="shared" si="27"/>
        <v>44139</v>
      </c>
      <c r="C106" s="1">
        <f>+C105-19900</f>
        <v>577683</v>
      </c>
      <c r="D106" s="1">
        <v>10812</v>
      </c>
      <c r="E106" s="1">
        <v>381400</v>
      </c>
      <c r="F106" s="1">
        <f>+A!C106-A!D106-A!E106</f>
        <v>185471</v>
      </c>
      <c r="G106" s="1"/>
      <c r="H106" s="4">
        <f>SUM(A!J106:J112)/7*1000000/A!H$3-SUM(A!F106:F112)/7*(1-A!N$3)</f>
        <v>28133.459682539687</v>
      </c>
      <c r="I106" s="7">
        <f>SUM(A!F103:F109)/7</f>
        <v>188777.57142857142</v>
      </c>
      <c r="J106" s="1">
        <v>2546</v>
      </c>
      <c r="K106" s="1">
        <v>61</v>
      </c>
      <c r="L106" s="1"/>
      <c r="M106" s="4">
        <f>A!D106-A!D107</f>
        <v>151</v>
      </c>
      <c r="N106" s="11">
        <f>SUM(A!P106:P112)/7*A!N$3</f>
        <v>324.12571428571431</v>
      </c>
      <c r="O106" s="4">
        <f>(SUM(A!M91:M97)/A!O$3*1000-SUM(A!P103:P109))/7+A!N105</f>
        <v>55315.373271213946</v>
      </c>
      <c r="P106" s="4">
        <f t="shared" si="28"/>
        <v>17304</v>
      </c>
      <c r="Q106" s="1">
        <f>SUM(A!P103:P109)/7</f>
        <v>17676.428571428572</v>
      </c>
      <c r="S106" s="4"/>
      <c r="T106" s="8"/>
      <c r="U106" s="8"/>
      <c r="V106" s="8"/>
      <c r="W106" s="8"/>
      <c r="Z106" s="10">
        <f t="shared" si="18"/>
        <v>44137</v>
      </c>
      <c r="AA106" s="1">
        <f>AI106*AI$3*2</f>
        <v>3081890</v>
      </c>
      <c r="AB106" s="1">
        <f t="shared" si="19"/>
        <v>188777.57142857142</v>
      </c>
      <c r="AC106" s="1">
        <f t="shared" si="20"/>
        <v>27490.46642428491</v>
      </c>
      <c r="AD106" s="1">
        <f t="shared" si="21"/>
        <v>661273.36463897128</v>
      </c>
      <c r="AF106" s="10">
        <f t="shared" si="15"/>
        <v>44137</v>
      </c>
      <c r="AG106" s="6">
        <f t="shared" si="16"/>
        <v>0.11516210842847696</v>
      </c>
      <c r="AH106" s="6">
        <f t="shared" si="17"/>
        <v>0.75791170265254415</v>
      </c>
      <c r="AI106" s="6">
        <f>V$18/V$57*AI$4</f>
        <v>1.8081585443024712</v>
      </c>
      <c r="AJ106" s="1" t="str">
        <f>AJ99</f>
        <v>x</v>
      </c>
    </row>
    <row r="107" spans="2:37" ht="15.6">
      <c r="B107" s="2">
        <f t="shared" si="27"/>
        <v>44138</v>
      </c>
      <c r="C107" s="1">
        <v>560379</v>
      </c>
      <c r="D107" s="1">
        <v>10661</v>
      </c>
      <c r="E107" s="1">
        <v>371500</v>
      </c>
      <c r="F107" s="1">
        <f>+A!C107-A!D107-A!E107</f>
        <v>178218</v>
      </c>
      <c r="G107" s="1"/>
      <c r="H107" s="4">
        <f>SUM(A!J107:J113)/7*1000000/A!H$3-SUM(A!F107:F113)/7*(1-A!N$3)</f>
        <v>24717.210476190492</v>
      </c>
      <c r="I107" s="7">
        <f>SUM(A!F104:F110)/7</f>
        <v>179897.42857142858</v>
      </c>
      <c r="J107" s="1">
        <v>2388</v>
      </c>
      <c r="K107" s="1">
        <v>74</v>
      </c>
      <c r="L107" s="1"/>
      <c r="M107" s="4">
        <f>A!D107-A!D108</f>
        <v>131</v>
      </c>
      <c r="N107" s="11">
        <f>SUM(A!P107:P113)/7*A!N$3</f>
        <v>317.44</v>
      </c>
      <c r="O107" s="4">
        <f>(SUM(A!M92:M98)/A!O$3*1000-SUM(A!P104:P110))/7+A!N106</f>
        <v>54041.921086740294</v>
      </c>
      <c r="P107" s="4">
        <f t="shared" si="28"/>
        <v>15352</v>
      </c>
      <c r="Q107" s="1">
        <f>SUM(A!P104:P110)/7</f>
        <v>17056.428571428572</v>
      </c>
      <c r="S107" s="4"/>
      <c r="T107" s="8"/>
      <c r="U107" s="8"/>
      <c r="V107" s="8"/>
      <c r="W107" s="8"/>
      <c r="Z107" s="10">
        <f t="shared" ref="Z107:Z170" si="29">AF107</f>
        <v>44136</v>
      </c>
      <c r="AA107" s="1">
        <f>AI107*AI$3*2</f>
        <v>3186556</v>
      </c>
      <c r="AB107" s="1">
        <f t="shared" si="19"/>
        <v>179897.42857142858</v>
      </c>
      <c r="AC107" s="1">
        <f t="shared" si="20"/>
        <v>24995.452691154573</v>
      </c>
      <c r="AD107" s="1">
        <f t="shared" si="21"/>
        <v>576974.29588968086</v>
      </c>
      <c r="AF107" s="10">
        <f t="shared" ref="AF107:AF170" si="30">B109</f>
        <v>44136</v>
      </c>
      <c r="AG107" s="6">
        <f t="shared" si="16"/>
        <v>0.11088706797101337</v>
      </c>
      <c r="AH107" s="6">
        <f t="shared" ref="AH107:AH170" si="31">O109/(O109+Q109)</f>
        <v>0.74219180317701317</v>
      </c>
      <c r="AI107" s="6">
        <f>V$19/V$57*AI$4</f>
        <v>1.8695665511417687</v>
      </c>
      <c r="AJ107" s="1"/>
    </row>
    <row r="108" spans="2:37" ht="15.6">
      <c r="B108" s="2">
        <f t="shared" si="27"/>
        <v>44137</v>
      </c>
      <c r="C108" s="1">
        <v>545027</v>
      </c>
      <c r="D108" s="1">
        <v>10530</v>
      </c>
      <c r="E108" s="1">
        <v>363100</v>
      </c>
      <c r="F108" s="1">
        <f>+A!C108-A!D108-A!E108</f>
        <v>171397</v>
      </c>
      <c r="G108" s="1"/>
      <c r="H108" s="4">
        <f>SUM(A!J108:J114)/7*1000000/A!H$3-SUM(A!F108:F114)/7*(1-A!N$3)</f>
        <v>22263.807619047642</v>
      </c>
      <c r="I108" s="7">
        <f>SUM(A!F105:F111)/7</f>
        <v>171062</v>
      </c>
      <c r="J108" s="1">
        <v>2243</v>
      </c>
      <c r="K108" s="1">
        <v>61</v>
      </c>
      <c r="L108" s="1"/>
      <c r="M108" s="4">
        <f>A!D108-A!D109</f>
        <v>49</v>
      </c>
      <c r="N108" s="11">
        <f>SUM(A!P108:P114)/7*A!N$3</f>
        <v>306.17428571428576</v>
      </c>
      <c r="O108" s="4">
        <f>(SUM(A!M93:M99)/A!O$3*1000-SUM(A!P105:P111))/7+A!N107</f>
        <v>52135.503654923305</v>
      </c>
      <c r="P108" s="4">
        <f t="shared" si="28"/>
        <v>12097</v>
      </c>
      <c r="Q108" s="1">
        <f>SUM(A!P105:P111)/7</f>
        <v>16652.857142857141</v>
      </c>
      <c r="S108" s="4"/>
      <c r="T108" s="8"/>
      <c r="U108" s="8"/>
      <c r="V108" s="8"/>
      <c r="W108" s="8"/>
      <c r="Z108" s="10">
        <f t="shared" si="29"/>
        <v>44135</v>
      </c>
      <c r="AA108" s="1">
        <f>AI108*AI$3*2</f>
        <v>3186556</v>
      </c>
      <c r="AB108" s="1">
        <f t="shared" ref="AB108:AB171" si="32">I108</f>
        <v>171062</v>
      </c>
      <c r="AC108" s="1">
        <f t="shared" ref="AC108:AC171" si="33">SUM(F105:F112)/7/(1-AG108)*AG108</f>
        <v>24249.131829460628</v>
      </c>
      <c r="AD108" s="1">
        <f t="shared" ref="AD108:AD171" si="34">SUM(F105:F112)/7/(1-AH108)*AH108</f>
        <v>562579.87608582387</v>
      </c>
      <c r="AF108" s="10">
        <f t="shared" si="30"/>
        <v>44135</v>
      </c>
      <c r="AG108" s="6">
        <f t="shared" ref="AG108:AG171" si="35">H110/(H110+I110)</f>
        <v>0.11325934451297463</v>
      </c>
      <c r="AH108" s="6">
        <f t="shared" si="31"/>
        <v>0.74768057951738087</v>
      </c>
      <c r="AI108" s="6">
        <f>V$19/V$57*AI$4</f>
        <v>1.8695665511417687</v>
      </c>
      <c r="AJ108" s="1"/>
    </row>
    <row r="109" spans="2:37" ht="15.6">
      <c r="B109" s="2">
        <f t="shared" si="27"/>
        <v>44136</v>
      </c>
      <c r="C109" s="1">
        <v>532930</v>
      </c>
      <c r="D109" s="1">
        <v>10481</v>
      </c>
      <c r="E109" s="1">
        <f>+E110+4700</f>
        <v>355900</v>
      </c>
      <c r="F109" s="1">
        <f>+A!C109-A!D109-A!E109</f>
        <v>166549</v>
      </c>
      <c r="G109" s="1"/>
      <c r="H109" s="4">
        <f>SUM(A!J109:J115)/7*1000000/A!H$3-SUM(A!F109:F115)/7*(1-A!N$3)</f>
        <v>20202.686031746038</v>
      </c>
      <c r="I109" s="7">
        <f>SUM(A!F106:F112)/7</f>
        <v>161988.85714285713</v>
      </c>
      <c r="J109" s="1">
        <v>2061</v>
      </c>
      <c r="K109" s="1">
        <v>48</v>
      </c>
      <c r="L109" s="1"/>
      <c r="M109" s="4">
        <f>A!D109-A!D110</f>
        <v>29</v>
      </c>
      <c r="N109" s="11">
        <f>SUM(A!P109:P115)/7*A!N$3</f>
        <v>296.42571428571426</v>
      </c>
      <c r="O109" s="4">
        <f>(SUM(A!M94:M100)/A!O$3*1000-SUM(A!P106:P112))/7+A!N108</f>
        <v>46655.508107627073</v>
      </c>
      <c r="P109" s="4">
        <f t="shared" si="28"/>
        <v>14177</v>
      </c>
      <c r="Q109" s="1">
        <f>SUM(A!P106:P112)/7</f>
        <v>16206.285714285714</v>
      </c>
      <c r="S109" s="4"/>
      <c r="T109" s="8"/>
      <c r="U109" s="8"/>
      <c r="V109" s="8"/>
      <c r="W109" s="8"/>
      <c r="Z109" s="10">
        <f t="shared" si="29"/>
        <v>44134</v>
      </c>
      <c r="AA109" s="1">
        <f>AI109*AI$3*2</f>
        <v>3186556</v>
      </c>
      <c r="AB109" s="1">
        <f t="shared" si="32"/>
        <v>161988.85714285713</v>
      </c>
      <c r="AC109" s="1">
        <f t="shared" si="33"/>
        <v>23700.084083085218</v>
      </c>
      <c r="AD109" s="1">
        <f t="shared" si="34"/>
        <v>530409.67504927807</v>
      </c>
      <c r="AF109" s="10">
        <f t="shared" si="30"/>
        <v>44134</v>
      </c>
      <c r="AG109" s="6">
        <f t="shared" si="35"/>
        <v>0.11674272620431556</v>
      </c>
      <c r="AH109" s="6">
        <f t="shared" si="31"/>
        <v>0.74734974889691674</v>
      </c>
      <c r="AI109" s="6">
        <f>V$19/V$57*AI$4</f>
        <v>1.8695665511417687</v>
      </c>
      <c r="AJ109" s="1"/>
    </row>
    <row r="110" spans="2:37" ht="15.6">
      <c r="B110" s="2">
        <f t="shared" si="27"/>
        <v>44135</v>
      </c>
      <c r="C110" s="1">
        <v>518753</v>
      </c>
      <c r="D110" s="1">
        <v>10452</v>
      </c>
      <c r="E110" s="1">
        <f>+E111+5500</f>
        <v>351200</v>
      </c>
      <c r="F110" s="1">
        <f>+A!C110-A!D110-A!E110</f>
        <v>157101</v>
      </c>
      <c r="G110" s="1"/>
      <c r="H110" s="4">
        <f>SUM(A!J110:J116)/7*1000000/A!H$3-SUM(A!F110:F116)/7*(1-A!N$3)</f>
        <v>19518.400317460328</v>
      </c>
      <c r="I110" s="7">
        <f>SUM(A!F107:F113)/7</f>
        <v>152815.28571428571</v>
      </c>
      <c r="J110" s="1">
        <v>1944</v>
      </c>
      <c r="K110" s="1">
        <v>42</v>
      </c>
      <c r="L110" s="1"/>
      <c r="M110" s="4">
        <f>A!D110-A!D111</f>
        <v>103</v>
      </c>
      <c r="N110" s="11">
        <f>SUM(A!P110:P116)/7*A!N$3</f>
        <v>287.85142857142858</v>
      </c>
      <c r="O110" s="4">
        <f>(SUM(A!M95:M101)/A!O$3*1000-SUM(A!P107:P113))/7+A!N109</f>
        <v>47032.393049259284</v>
      </c>
      <c r="P110" s="4">
        <f t="shared" si="28"/>
        <v>19059</v>
      </c>
      <c r="Q110" s="1">
        <f>SUM(A!P107:P113)/7</f>
        <v>15872</v>
      </c>
      <c r="S110" s="4"/>
      <c r="T110" s="8"/>
      <c r="U110" s="8"/>
      <c r="V110" s="8"/>
      <c r="W110" s="8"/>
      <c r="Z110" s="10">
        <f t="shared" si="29"/>
        <v>44133</v>
      </c>
      <c r="AA110" s="1">
        <f>AI110*AI$3*2</f>
        <v>3186556</v>
      </c>
      <c r="AB110" s="1">
        <f t="shared" si="32"/>
        <v>152815.28571428571</v>
      </c>
      <c r="AC110" s="1">
        <f t="shared" si="33"/>
        <v>23075.514030503356</v>
      </c>
      <c r="AD110" s="1">
        <f t="shared" si="34"/>
        <v>492774.60635601036</v>
      </c>
      <c r="AF110" s="10">
        <f t="shared" si="30"/>
        <v>44133</v>
      </c>
      <c r="AG110" s="6">
        <f t="shared" si="35"/>
        <v>0.12021067483350015</v>
      </c>
      <c r="AH110" s="6">
        <f t="shared" si="31"/>
        <v>0.74475723159630447</v>
      </c>
      <c r="AI110" s="6">
        <f>V$19/V$57*AI$4</f>
        <v>1.8695665511417687</v>
      </c>
      <c r="AJ110" s="1"/>
      <c r="AK110" t="s">
        <v>23</v>
      </c>
    </row>
    <row r="111" spans="2:37" ht="15.6">
      <c r="B111" s="2">
        <f t="shared" si="27"/>
        <v>44134</v>
      </c>
      <c r="C111" s="1">
        <v>499694</v>
      </c>
      <c r="D111" s="1">
        <f>+D112+77</f>
        <v>10349</v>
      </c>
      <c r="E111" s="1">
        <v>345700</v>
      </c>
      <c r="F111" s="1">
        <f>+A!C111-A!D111-A!E111</f>
        <v>143645</v>
      </c>
      <c r="G111" s="1"/>
      <c r="H111" s="4">
        <f>SUM(A!J111:J117)/7*1000000/A!H$3-SUM(A!F111:F117)/7*(1-A!N$3)</f>
        <v>18956.736507936512</v>
      </c>
      <c r="I111" s="7">
        <f>SUM(A!F108:F114)/7</f>
        <v>143423.71428571429</v>
      </c>
      <c r="J111" s="1">
        <v>1839</v>
      </c>
      <c r="K111" s="1">
        <v>32</v>
      </c>
      <c r="L111" s="1"/>
      <c r="M111" s="4">
        <f>A!D111-A!D112</f>
        <v>77</v>
      </c>
      <c r="N111" s="11">
        <f>SUM(A!P111:P117)/7*A!N$3</f>
        <v>275.43714285714287</v>
      </c>
      <c r="O111" s="4">
        <f>(SUM(A!M96:M102)/A!O$3*1000-SUM(A!P108:P114))/7+A!N110</f>
        <v>45283.801331727991</v>
      </c>
      <c r="P111" s="4">
        <f t="shared" si="28"/>
        <v>18681</v>
      </c>
      <c r="Q111" s="1">
        <f>SUM(A!P108:P114)/7</f>
        <v>15308.714285714286</v>
      </c>
      <c r="S111" s="4"/>
      <c r="T111" s="8"/>
      <c r="U111" s="8"/>
      <c r="V111" s="8"/>
      <c r="W111" s="8"/>
      <c r="Z111" s="10">
        <f t="shared" si="29"/>
        <v>44132</v>
      </c>
      <c r="AA111" s="1">
        <f>AI111*AI$3*2</f>
        <v>3186556</v>
      </c>
      <c r="AB111" s="1">
        <f t="shared" si="32"/>
        <v>143423.71428571429</v>
      </c>
      <c r="AC111" s="1">
        <f t="shared" si="33"/>
        <v>22395.584341688023</v>
      </c>
      <c r="AD111" s="1">
        <f t="shared" si="34"/>
        <v>451037.87881227763</v>
      </c>
      <c r="AF111" s="10">
        <f t="shared" si="30"/>
        <v>44132</v>
      </c>
      <c r="AG111" s="6">
        <f t="shared" si="35"/>
        <v>0.12373787276237336</v>
      </c>
      <c r="AH111" s="6">
        <f t="shared" si="31"/>
        <v>0.73984972245923031</v>
      </c>
      <c r="AI111" s="6">
        <f>V$19/V$57*AI$4</f>
        <v>1.8695665511417687</v>
      </c>
      <c r="AJ111" s="1"/>
    </row>
    <row r="112" spans="2:37" ht="15.6">
      <c r="B112" s="2">
        <f t="shared" si="27"/>
        <v>44133</v>
      </c>
      <c r="C112" s="1">
        <f>+C113+16774</f>
        <v>481013</v>
      </c>
      <c r="D112" s="1">
        <f>+D113+89</f>
        <v>10272</v>
      </c>
      <c r="E112" s="1">
        <v>339200</v>
      </c>
      <c r="F112" s="1">
        <f>+A!C112-A!D112-A!E112</f>
        <v>131541</v>
      </c>
      <c r="G112" s="1"/>
      <c r="H112" s="4">
        <f>SUM(A!J112:J118)/7*1000000/A!H$3-SUM(A!F112:F118)/7*(1-A!N$3)</f>
        <v>18324.396190476196</v>
      </c>
      <c r="I112" s="7">
        <f>SUM(A!F109:F115)/7</f>
        <v>134111.28571428571</v>
      </c>
      <c r="J112" s="1">
        <v>1696</v>
      </c>
      <c r="K112" s="1">
        <v>27</v>
      </c>
      <c r="L112" s="1"/>
      <c r="M112" s="4">
        <f>A!D112-A!D113</f>
        <v>89</v>
      </c>
      <c r="N112" s="11">
        <f>SUM(A!P112:P118)/7*A!N$3</f>
        <v>254.18285714285713</v>
      </c>
      <c r="O112" s="4">
        <f>(SUM(A!M97:M103)/A!O$3*1000-SUM(A!P109:P115))/7+A!N111</f>
        <v>43246.121276239326</v>
      </c>
      <c r="P112" s="4">
        <f t="shared" si="28"/>
        <v>16774</v>
      </c>
      <c r="Q112" s="1">
        <f>SUM(A!P109:P115)/7</f>
        <v>14821.285714285714</v>
      </c>
      <c r="S112" s="4"/>
      <c r="T112" s="8"/>
      <c r="U112" s="8"/>
      <c r="V112" s="8"/>
      <c r="W112" s="8"/>
      <c r="Z112" s="10">
        <f t="shared" si="29"/>
        <v>44131</v>
      </c>
      <c r="AA112" s="1">
        <f>AI112*AI$3*2</f>
        <v>3186556</v>
      </c>
      <c r="AB112" s="1">
        <f t="shared" si="32"/>
        <v>134111.28571428571</v>
      </c>
      <c r="AC112" s="1">
        <f t="shared" si="33"/>
        <v>21858.166919557771</v>
      </c>
      <c r="AD112" s="1">
        <f t="shared" si="34"/>
        <v>393632.31581068371</v>
      </c>
      <c r="AF112" s="10">
        <f t="shared" si="30"/>
        <v>44131</v>
      </c>
      <c r="AG112" s="6">
        <f t="shared" si="35"/>
        <v>0.1281644003143563</v>
      </c>
      <c r="AH112" s="6">
        <f t="shared" si="31"/>
        <v>0.72582763370448988</v>
      </c>
      <c r="AI112" s="6">
        <f>V$19/V$57*AI$4</f>
        <v>1.8695665511417687</v>
      </c>
      <c r="AJ112" s="1"/>
    </row>
    <row r="113" spans="2:36" ht="15.6">
      <c r="B113" s="2">
        <f t="shared" si="27"/>
        <v>44132</v>
      </c>
      <c r="C113" s="1">
        <f>+C114+14964</f>
        <v>464239</v>
      </c>
      <c r="D113" s="1">
        <v>10183</v>
      </c>
      <c r="E113" s="1">
        <f>+E114+6100</f>
        <v>332800</v>
      </c>
      <c r="F113" s="1">
        <f>+A!C113-A!D113-A!E113</f>
        <v>121256</v>
      </c>
      <c r="G113" s="1"/>
      <c r="H113" s="4">
        <f>SUM(A!J113:J119)/7*1000000/A!H$3-SUM(A!F113:F119)/7*(1-A!N$3)</f>
        <v>17636.833333333328</v>
      </c>
      <c r="I113" s="7">
        <f>SUM(A!F110:F116)/7</f>
        <v>124897</v>
      </c>
      <c r="J113" s="1">
        <v>1569</v>
      </c>
      <c r="K113" s="1">
        <v>33</v>
      </c>
      <c r="L113" s="1"/>
      <c r="M113" s="4">
        <f>A!D113-A!D114</f>
        <v>85</v>
      </c>
      <c r="N113" s="11">
        <f>SUM(A!P113:P119)/7*A!N$3</f>
        <v>238.50571428571428</v>
      </c>
      <c r="O113" s="4">
        <f>(SUM(A!M98:M104)/A!O$3*1000-SUM(A!P110:P116))/7+A!N112</f>
        <v>40931.49573993613</v>
      </c>
      <c r="P113" s="4">
        <f t="shared" si="28"/>
        <v>14964</v>
      </c>
      <c r="Q113" s="1">
        <f>SUM(A!P110:P116)/7</f>
        <v>14392.571428571429</v>
      </c>
      <c r="S113" s="4"/>
      <c r="T113" s="8"/>
      <c r="U113" s="8"/>
      <c r="V113" s="8"/>
      <c r="W113" s="8"/>
      <c r="Z113" s="10">
        <f t="shared" si="29"/>
        <v>44130</v>
      </c>
      <c r="AA113" s="1">
        <f>AI113*AI$3*2</f>
        <v>3186556</v>
      </c>
      <c r="AB113" s="1">
        <f t="shared" si="32"/>
        <v>124897</v>
      </c>
      <c r="AC113" s="1">
        <f t="shared" si="33"/>
        <v>20862.098974385121</v>
      </c>
      <c r="AD113" s="1">
        <f t="shared" si="34"/>
        <v>345445.27585458441</v>
      </c>
      <c r="AF113" s="10">
        <f t="shared" si="30"/>
        <v>44130</v>
      </c>
      <c r="AG113" s="6">
        <f t="shared" si="35"/>
        <v>0.13106501170433285</v>
      </c>
      <c r="AH113" s="6">
        <f t="shared" si="31"/>
        <v>0.71408865382402753</v>
      </c>
      <c r="AI113" s="6">
        <f>V$19/V$57*AI$4</f>
        <v>1.8695665511417687</v>
      </c>
      <c r="AJ113" s="1" t="str">
        <f>AJ106</f>
        <v>x</v>
      </c>
    </row>
    <row r="114" spans="2:36" ht="15.6">
      <c r="B114" s="2">
        <f t="shared" si="27"/>
        <v>44131</v>
      </c>
      <c r="C114" s="1">
        <v>449275</v>
      </c>
      <c r="D114" s="1">
        <v>10098</v>
      </c>
      <c r="E114" s="1">
        <v>326700</v>
      </c>
      <c r="F114" s="1">
        <f>+A!C114-A!D114-A!E114</f>
        <v>112477</v>
      </c>
      <c r="G114" s="1"/>
      <c r="H114" s="4">
        <f>SUM(A!J114:J120)/7*1000000/A!H$3-SUM(A!F114:F120)/7*(1-A!N$3)</f>
        <v>17033.286984126986</v>
      </c>
      <c r="I114" s="7">
        <f>SUM(A!F111:F117)/7</f>
        <v>115868.57142857143</v>
      </c>
      <c r="J114" s="1">
        <v>1470</v>
      </c>
      <c r="K114" s="1">
        <v>41</v>
      </c>
      <c r="L114" s="1"/>
      <c r="M114" s="4">
        <f>A!D114-A!D115</f>
        <v>42</v>
      </c>
      <c r="N114" s="11">
        <f>SUM(A!P114:P120)/7*A!N$3</f>
        <v>217.45142857142858</v>
      </c>
      <c r="O114" s="4">
        <f>(SUM(A!M99:M105)/A!O$3*1000-SUM(A!P111:P117))/7+A!N113</f>
        <v>36458.796401612308</v>
      </c>
      <c r="P114" s="4">
        <f t="shared" si="28"/>
        <v>11409</v>
      </c>
      <c r="Q114" s="1">
        <f>SUM(A!P111:P117)/7</f>
        <v>13771.857142857143</v>
      </c>
      <c r="S114" s="4"/>
      <c r="T114" s="8"/>
      <c r="U114" s="8"/>
      <c r="V114" s="8"/>
      <c r="W114" s="8"/>
      <c r="Z114" s="10">
        <f t="shared" si="29"/>
        <v>44129</v>
      </c>
      <c r="AA114" s="1">
        <f>AI114*AI$3*2</f>
        <v>2850646</v>
      </c>
      <c r="AB114" s="1">
        <f t="shared" si="32"/>
        <v>115868.57142857143</v>
      </c>
      <c r="AC114" s="1">
        <f t="shared" si="33"/>
        <v>20471.610960394257</v>
      </c>
      <c r="AD114" s="1">
        <f t="shared" si="34"/>
        <v>335349.6470880757</v>
      </c>
      <c r="AF114" s="10">
        <f t="shared" si="30"/>
        <v>44129</v>
      </c>
      <c r="AG114" s="6">
        <f t="shared" si="35"/>
        <v>0.13813259312863996</v>
      </c>
      <c r="AH114" s="6">
        <f t="shared" si="31"/>
        <v>0.72417115506080265</v>
      </c>
      <c r="AI114" s="6">
        <f>V$20/V$57*AI$4</f>
        <v>1.6724866629508719</v>
      </c>
      <c r="AJ114" s="1"/>
    </row>
    <row r="115" spans="2:36" ht="15.6">
      <c r="B115" s="2">
        <f t="shared" si="27"/>
        <v>44130</v>
      </c>
      <c r="C115" s="1">
        <v>437866</v>
      </c>
      <c r="D115" s="1">
        <v>10056</v>
      </c>
      <c r="E115" s="1">
        <v>321600</v>
      </c>
      <c r="F115" s="1">
        <f>+A!C115-A!D115-A!E115</f>
        <v>106210</v>
      </c>
      <c r="G115" s="1"/>
      <c r="H115" s="4">
        <f>SUM(A!J115:J121)/7*1000000/A!H$3-SUM(A!F115:F121)/7*(1-A!N$3)</f>
        <v>16170.965079365065</v>
      </c>
      <c r="I115" s="7">
        <f>SUM(A!F112:F118)/7</f>
        <v>107210.28571428571</v>
      </c>
      <c r="J115" s="1">
        <v>1362</v>
      </c>
      <c r="K115" s="1">
        <v>29</v>
      </c>
      <c r="L115" s="1"/>
      <c r="M115" s="4">
        <f>A!D115-A!D116</f>
        <v>24</v>
      </c>
      <c r="N115" s="11">
        <f>SUM(A!P115:P121)/7*A!N$3</f>
        <v>204.47714285714287</v>
      </c>
      <c r="O115" s="4">
        <f>(SUM(A!M100:M106)/A!O$3*1000-SUM(A!P112:P118))/7+A!N114</f>
        <v>31742.19853635555</v>
      </c>
      <c r="P115" s="4">
        <f t="shared" si="28"/>
        <v>8685</v>
      </c>
      <c r="Q115" s="1">
        <f>SUM(A!P112:P118)/7</f>
        <v>12709.142857142857</v>
      </c>
      <c r="S115" s="4"/>
      <c r="T115" s="8"/>
      <c r="U115" s="8"/>
      <c r="V115" s="8"/>
      <c r="W115" s="8"/>
      <c r="Z115" s="10">
        <f t="shared" si="29"/>
        <v>44128</v>
      </c>
      <c r="AA115" s="1">
        <f>AI115*AI$3*2</f>
        <v>2850646</v>
      </c>
      <c r="AB115" s="1">
        <f t="shared" si="32"/>
        <v>107210.28571428571</v>
      </c>
      <c r="AC115" s="1">
        <f t="shared" si="33"/>
        <v>19361.895820305621</v>
      </c>
      <c r="AD115" s="1">
        <f t="shared" si="34"/>
        <v>343347.85178137379</v>
      </c>
      <c r="AF115" s="10">
        <f t="shared" si="30"/>
        <v>44128</v>
      </c>
      <c r="AG115" s="6">
        <f t="shared" si="35"/>
        <v>0.14087976038647887</v>
      </c>
      <c r="AH115" s="6">
        <f t="shared" si="31"/>
        <v>0.74410880858449724</v>
      </c>
      <c r="AI115" s="6">
        <f>V$20/V$57*AI$4</f>
        <v>1.6724866629508719</v>
      </c>
      <c r="AJ115" s="1"/>
    </row>
    <row r="116" spans="2:36" ht="15.6">
      <c r="B116" s="2">
        <f t="shared" si="27"/>
        <v>44129</v>
      </c>
      <c r="C116" s="1">
        <v>429181</v>
      </c>
      <c r="D116" s="1">
        <v>10032</v>
      </c>
      <c r="E116" s="1">
        <v>317100</v>
      </c>
      <c r="F116" s="1">
        <f>+A!C116-A!D116-A!E116</f>
        <v>102049</v>
      </c>
      <c r="G116" s="1"/>
      <c r="H116" s="4">
        <f>SUM(A!J116:J122)/7*1000000/A!H$3-SUM(A!F116:F122)/7*(1-A!N$3)</f>
        <v>15912.076190476189</v>
      </c>
      <c r="I116" s="7">
        <f>SUM(A!F113:F119)/7</f>
        <v>99282.142857142855</v>
      </c>
      <c r="J116" s="1">
        <v>1296</v>
      </c>
      <c r="K116" s="1">
        <v>13</v>
      </c>
      <c r="L116" s="1"/>
      <c r="M116" s="4">
        <f>A!D116-A!D117</f>
        <v>29</v>
      </c>
      <c r="N116" s="11">
        <f>SUM(A!P116:P122)/7*A!N$3</f>
        <v>192.02</v>
      </c>
      <c r="O116" s="4">
        <f>(SUM(A!M101:M107)/A!O$3*1000-SUM(A!P113:P119))/7+A!N115</f>
        <v>31309.082021671995</v>
      </c>
      <c r="P116" s="4">
        <f t="shared" si="28"/>
        <v>11176</v>
      </c>
      <c r="Q116" s="1">
        <f>SUM(A!P113:P119)/7</f>
        <v>11925.285714285714</v>
      </c>
      <c r="S116" s="4"/>
      <c r="T116" s="8"/>
      <c r="U116" s="8"/>
      <c r="V116" s="8"/>
      <c r="W116" s="8"/>
      <c r="Z116" s="10">
        <f t="shared" si="29"/>
        <v>44127</v>
      </c>
      <c r="AA116" s="1">
        <f>AI116*AI$3*2</f>
        <v>2850646</v>
      </c>
      <c r="AB116" s="1">
        <f t="shared" si="32"/>
        <v>99282.142857142855</v>
      </c>
      <c r="AC116" s="1">
        <f t="shared" si="33"/>
        <v>18308.44724085875</v>
      </c>
      <c r="AD116" s="1">
        <f t="shared" si="34"/>
        <v>325168.89985311008</v>
      </c>
      <c r="AF116" s="10">
        <f t="shared" si="30"/>
        <v>44127</v>
      </c>
      <c r="AG116" s="6">
        <f t="shared" si="35"/>
        <v>0.14368886023301081</v>
      </c>
      <c r="AH116" s="6">
        <f t="shared" si="31"/>
        <v>0.74875789656463954</v>
      </c>
      <c r="AI116" s="6">
        <f>V$20/V$57*AI$4</f>
        <v>1.6724866629508719</v>
      </c>
      <c r="AJ116" s="1"/>
    </row>
    <row r="117" spans="2:36" ht="15.6">
      <c r="B117" s="2">
        <f t="shared" si="27"/>
        <v>44128</v>
      </c>
      <c r="C117" s="1">
        <v>418005</v>
      </c>
      <c r="D117" s="1">
        <v>10003</v>
      </c>
      <c r="E117" s="1">
        <v>314100</v>
      </c>
      <c r="F117" s="1">
        <f>+A!C117-A!D117-A!E117</f>
        <v>93902</v>
      </c>
      <c r="G117" s="1"/>
      <c r="H117" s="4">
        <f>SUM(A!J117:J123)/7*1000000/A!H$3-SUM(A!F117:F123)/7*(1-A!N$3)</f>
        <v>15051.292698412712</v>
      </c>
      <c r="I117" s="7">
        <f>SUM(A!F114:F120)/7</f>
        <v>91786.571428571435</v>
      </c>
      <c r="J117" s="1">
        <v>1203</v>
      </c>
      <c r="K117" s="1">
        <v>26</v>
      </c>
      <c r="L117" s="1"/>
      <c r="M117" s="4">
        <f>A!D117-A!D118</f>
        <v>49</v>
      </c>
      <c r="N117" s="11">
        <f>SUM(A!P117:P123)/7*A!N$3</f>
        <v>176.0514285714286</v>
      </c>
      <c r="O117" s="4">
        <f>(SUM(A!M102:M108)/A!O$3*1000-SUM(A!P114:P120))/7+A!N116</f>
        <v>31616.46998167827</v>
      </c>
      <c r="P117" s="4">
        <f t="shared" si="28"/>
        <v>14714</v>
      </c>
      <c r="Q117" s="1">
        <f>SUM(A!P114:P120)/7</f>
        <v>10872.571428571429</v>
      </c>
      <c r="S117" s="4"/>
      <c r="T117" s="8"/>
      <c r="U117" s="8"/>
      <c r="V117" s="8"/>
      <c r="W117" s="8"/>
      <c r="Z117" s="10">
        <f t="shared" si="29"/>
        <v>44126</v>
      </c>
      <c r="AA117" s="1">
        <f>AI117*AI$3*2</f>
        <v>2850646</v>
      </c>
      <c r="AB117" s="1">
        <f t="shared" si="32"/>
        <v>91786.571428571435</v>
      </c>
      <c r="AC117" s="1">
        <f t="shared" si="33"/>
        <v>17021.918899081091</v>
      </c>
      <c r="AD117" s="1">
        <f t="shared" si="34"/>
        <v>312243.86274527316</v>
      </c>
      <c r="AF117" s="10">
        <f t="shared" si="30"/>
        <v>44126</v>
      </c>
      <c r="AG117" s="6">
        <f t="shared" si="35"/>
        <v>0.14413307283959811</v>
      </c>
      <c r="AH117" s="6">
        <f t="shared" si="31"/>
        <v>0.7554520149667352</v>
      </c>
      <c r="AI117" s="6">
        <f>V$20/V$57*AI$4</f>
        <v>1.6724866629508719</v>
      </c>
      <c r="AJ117" s="1"/>
    </row>
    <row r="118" spans="2:36" ht="15.6">
      <c r="B118" s="2">
        <f t="shared" si="27"/>
        <v>44127</v>
      </c>
      <c r="C118" s="1">
        <v>403291</v>
      </c>
      <c r="D118" s="1">
        <v>9954</v>
      </c>
      <c r="E118" s="1">
        <v>310300</v>
      </c>
      <c r="F118" s="1">
        <f>+A!C118-A!D118-A!E118</f>
        <v>83037</v>
      </c>
      <c r="G118" s="1"/>
      <c r="H118" s="4">
        <f>SUM(A!J118:J124)/7*1000000/A!H$3-SUM(A!F118:F124)/7*(1-A!N$3)</f>
        <v>14264.423492063506</v>
      </c>
      <c r="I118" s="7">
        <f>SUM(A!F115:F121)/7</f>
        <v>85008.571428571435</v>
      </c>
      <c r="J118" s="1">
        <v>1121</v>
      </c>
      <c r="K118" s="1">
        <v>18</v>
      </c>
      <c r="L118" s="1"/>
      <c r="M118" s="4">
        <f>A!D118-A!D119</f>
        <v>49</v>
      </c>
      <c r="N118" s="11">
        <f>SUM(A!P118:P124)/7*A!N$3</f>
        <v>156.38285714285715</v>
      </c>
      <c r="O118" s="4">
        <f>(SUM(A!M103:M109)/A!O$3*1000-SUM(A!P115:P121))/7+A!N117</f>
        <v>30469.390537611893</v>
      </c>
      <c r="P118" s="4">
        <f t="shared" si="28"/>
        <v>11242</v>
      </c>
      <c r="Q118" s="1">
        <f>SUM(A!P115:P121)/7</f>
        <v>10223.857142857143</v>
      </c>
      <c r="S118" s="4"/>
      <c r="T118" s="8"/>
      <c r="U118" s="8"/>
      <c r="V118" s="8"/>
      <c r="W118" s="8"/>
      <c r="Z118" s="10">
        <f t="shared" si="29"/>
        <v>44125</v>
      </c>
      <c r="AA118" s="1">
        <f>AI118*AI$3*2</f>
        <v>2850646</v>
      </c>
      <c r="AB118" s="1">
        <f t="shared" si="32"/>
        <v>85008.571428571435</v>
      </c>
      <c r="AC118" s="1">
        <f t="shared" si="33"/>
        <v>16211.604577813112</v>
      </c>
      <c r="AD118" s="1">
        <f t="shared" si="34"/>
        <v>274862.12806576875</v>
      </c>
      <c r="AF118" s="10">
        <f t="shared" si="30"/>
        <v>44125</v>
      </c>
      <c r="AG118" s="6">
        <f t="shared" si="35"/>
        <v>0.14733015323253301</v>
      </c>
      <c r="AH118" s="6">
        <f t="shared" si="31"/>
        <v>0.74551737680722341</v>
      </c>
      <c r="AI118" s="6">
        <f>V$20/V$57*AI$4</f>
        <v>1.6724866629508719</v>
      </c>
      <c r="AJ118" s="1"/>
    </row>
    <row r="119" spans="2:36" ht="15.6">
      <c r="B119" s="2">
        <f t="shared" si="27"/>
        <v>44126</v>
      </c>
      <c r="C119" s="1">
        <v>392049</v>
      </c>
      <c r="D119" s="1">
        <v>9905</v>
      </c>
      <c r="E119" s="1">
        <v>306100</v>
      </c>
      <c r="F119" s="1">
        <f>+A!C119-A!D119-A!E119</f>
        <v>76044</v>
      </c>
      <c r="G119" s="1"/>
      <c r="H119" s="4">
        <f>SUM(A!J119:J125)/7*1000000/A!H$3-SUM(A!F119:F125)/7*(1-A!N$3)</f>
        <v>13245.367619047604</v>
      </c>
      <c r="I119" s="7">
        <f>SUM(A!F116:F122)/7</f>
        <v>78651.428571428565</v>
      </c>
      <c r="J119" s="1">
        <v>1030</v>
      </c>
      <c r="K119" s="1">
        <v>23</v>
      </c>
      <c r="L119" s="1"/>
      <c r="M119" s="4">
        <f>A!D119-A!D120</f>
        <v>30</v>
      </c>
      <c r="N119" s="11">
        <f>SUM(A!P119:P125)/7*A!N$3</f>
        <v>145.21714285714287</v>
      </c>
      <c r="O119" s="4">
        <f>(SUM(A!M104:M110)/A!O$3*1000-SUM(A!P116:P122))/7+A!N118</f>
        <v>29659.188542113799</v>
      </c>
      <c r="P119" s="4">
        <f t="shared" si="28"/>
        <v>11287</v>
      </c>
      <c r="Q119" s="1">
        <f>SUM(A!P116:P122)/7</f>
        <v>9601</v>
      </c>
      <c r="S119" s="4"/>
      <c r="T119" s="8"/>
      <c r="U119" s="8"/>
      <c r="V119" s="8"/>
      <c r="W119" s="8"/>
      <c r="Z119" s="10">
        <f t="shared" si="29"/>
        <v>44124</v>
      </c>
      <c r="AA119" s="1">
        <f>AI119*AI$3*2</f>
        <v>2850646</v>
      </c>
      <c r="AB119" s="1">
        <f t="shared" si="32"/>
        <v>78651.428571428565</v>
      </c>
      <c r="AC119" s="1">
        <f t="shared" si="33"/>
        <v>15338.766461793546</v>
      </c>
      <c r="AD119" s="1">
        <f t="shared" si="34"/>
        <v>281731.35417373321</v>
      </c>
      <c r="AF119" s="10">
        <f t="shared" si="30"/>
        <v>44124</v>
      </c>
      <c r="AG119" s="6">
        <f t="shared" si="35"/>
        <v>0.14947393201964665</v>
      </c>
      <c r="AH119" s="6">
        <f t="shared" si="31"/>
        <v>0.76347699926197976</v>
      </c>
      <c r="AI119" s="6">
        <f>V$20/V$57*AI$4</f>
        <v>1.6724866629508719</v>
      </c>
      <c r="AJ119" s="1"/>
    </row>
    <row r="120" spans="2:36" ht="15.6">
      <c r="B120" s="2">
        <f t="shared" si="27"/>
        <v>44125</v>
      </c>
      <c r="C120" s="1">
        <v>380762</v>
      </c>
      <c r="D120" s="1">
        <v>9875</v>
      </c>
      <c r="E120" s="1">
        <v>302100</v>
      </c>
      <c r="F120" s="1">
        <f>+A!C120-A!D120-A!E120</f>
        <v>68787</v>
      </c>
      <c r="G120" s="1"/>
      <c r="H120" s="4">
        <f>SUM(A!J120:J126)/7*1000000/A!H$3-SUM(A!F120:F126)/7*(1-A!N$3)</f>
        <v>12561.802857142859</v>
      </c>
      <c r="I120" s="7">
        <f>SUM(A!F117:F123)/7</f>
        <v>72701.142857142855</v>
      </c>
      <c r="J120" s="1">
        <v>943</v>
      </c>
      <c r="K120" s="1">
        <v>18</v>
      </c>
      <c r="L120" s="1"/>
      <c r="M120" s="4">
        <f>A!D120-A!D121</f>
        <v>39</v>
      </c>
      <c r="N120" s="11">
        <f>SUM(A!P120:P126)/7*A!N$3</f>
        <v>131.93428571428572</v>
      </c>
      <c r="O120" s="4">
        <f>(SUM(A!M105:M111)/A!O$3*1000-SUM(A!P117:P123))/7+A!N119</f>
        <v>25787.497308276183</v>
      </c>
      <c r="P120" s="4">
        <f t="shared" si="28"/>
        <v>7595</v>
      </c>
      <c r="Q120" s="1">
        <f>SUM(A!P117:P123)/7</f>
        <v>8802.5714285714294</v>
      </c>
      <c r="S120" s="4"/>
      <c r="T120" s="8"/>
      <c r="U120" s="8"/>
      <c r="V120" s="8"/>
      <c r="W120" s="8"/>
      <c r="Z120" s="10">
        <f t="shared" si="29"/>
        <v>44123</v>
      </c>
      <c r="AA120" s="1">
        <f>AI120*AI$3*2</f>
        <v>2850646</v>
      </c>
      <c r="AB120" s="1">
        <f t="shared" si="32"/>
        <v>72701.142857142855</v>
      </c>
      <c r="AC120" s="1">
        <f t="shared" si="33"/>
        <v>15376.205012906667</v>
      </c>
      <c r="AD120" s="1">
        <f t="shared" si="34"/>
        <v>248525.34097761489</v>
      </c>
      <c r="AF120" s="10">
        <f t="shared" si="30"/>
        <v>44123</v>
      </c>
      <c r="AG120" s="6">
        <f t="shared" si="35"/>
        <v>0.15989245592463405</v>
      </c>
      <c r="AH120" s="6">
        <f t="shared" si="31"/>
        <v>0.7546734866976772</v>
      </c>
      <c r="AI120" s="6">
        <f>V$20/V$57*AI$4</f>
        <v>1.6724866629508719</v>
      </c>
      <c r="AJ120" s="1" t="str">
        <f>AJ113</f>
        <v>x</v>
      </c>
    </row>
    <row r="121" spans="2:36" ht="15.6">
      <c r="B121" s="2">
        <f t="shared" si="27"/>
        <v>44124</v>
      </c>
      <c r="C121" s="1">
        <v>373167</v>
      </c>
      <c r="D121" s="1">
        <v>9836</v>
      </c>
      <c r="E121" s="1">
        <v>298300</v>
      </c>
      <c r="F121" s="1">
        <f>+A!C121-A!D121-A!E121</f>
        <v>65031</v>
      </c>
      <c r="G121" s="1"/>
      <c r="H121" s="4">
        <f>SUM(A!J121:J127)/7*1000000/A!H$3-SUM(A!F121:F127)/7*(1-A!N$3)</f>
        <v>11840.704126984128</v>
      </c>
      <c r="I121" s="7">
        <f>SUM(A!F118:F124)/7</f>
        <v>67375.142857142855</v>
      </c>
      <c r="J121" s="1">
        <v>879</v>
      </c>
      <c r="K121" s="1">
        <v>13</v>
      </c>
      <c r="L121" s="1"/>
      <c r="M121" s="4">
        <f>A!D121-A!D122</f>
        <v>47</v>
      </c>
      <c r="N121" s="11">
        <f>SUM(A!P121:P127)/7*A!N$3</f>
        <v>124.89714285714287</v>
      </c>
      <c r="O121" s="4">
        <f>(SUM(A!M106:M112)/A!O$3*1000-SUM(A!P118:P124))/7+A!N120</f>
        <v>25239.556858085121</v>
      </c>
      <c r="P121" s="4">
        <f t="shared" si="28"/>
        <v>6868</v>
      </c>
      <c r="Q121" s="1">
        <f>SUM(A!P118:P124)/7</f>
        <v>7819.1428571428569</v>
      </c>
      <c r="S121" s="4"/>
      <c r="T121" s="8"/>
      <c r="U121" s="8"/>
      <c r="V121" s="8"/>
      <c r="W121" s="8"/>
      <c r="Z121" s="10">
        <f t="shared" si="29"/>
        <v>44122</v>
      </c>
      <c r="AA121" s="1">
        <f>AI121*AI$3*2</f>
        <v>2527432</v>
      </c>
      <c r="AB121" s="1">
        <f t="shared" si="32"/>
        <v>67375.142857142855</v>
      </c>
      <c r="AC121" s="1">
        <f t="shared" si="33"/>
        <v>15086.314486310268</v>
      </c>
      <c r="AD121" s="1">
        <f t="shared" si="34"/>
        <v>207581.52381903297</v>
      </c>
      <c r="AF121" s="10">
        <f t="shared" si="30"/>
        <v>44122</v>
      </c>
      <c r="AG121" s="6">
        <f t="shared" si="35"/>
        <v>0.1680382901514659</v>
      </c>
      <c r="AH121" s="6">
        <f t="shared" si="31"/>
        <v>0.73538954604140294</v>
      </c>
      <c r="AI121" s="6">
        <f>V$21/V$57*AI$4</f>
        <v>1.4828555743207847</v>
      </c>
      <c r="AJ121" s="1"/>
    </row>
    <row r="122" spans="2:36" ht="15.6">
      <c r="B122" s="2">
        <f t="shared" si="27"/>
        <v>44123</v>
      </c>
      <c r="C122" s="1">
        <f>+C123+4325</f>
        <v>366299</v>
      </c>
      <c r="D122" s="1">
        <v>9789</v>
      </c>
      <c r="E122" s="1">
        <f>+E123+3000</f>
        <v>294800</v>
      </c>
      <c r="F122" s="1">
        <f>+A!C122-A!D122-A!E122</f>
        <v>61710</v>
      </c>
      <c r="G122" s="1"/>
      <c r="H122" s="4">
        <f>SUM(A!J122:J128)/7*1000000/A!H$3-SUM(A!F122:F128)/7*(1-A!N$3)</f>
        <v>11958.098412698411</v>
      </c>
      <c r="I122" s="7">
        <f>SUM(A!F119:F125)/7</f>
        <v>62830.285714285717</v>
      </c>
      <c r="J122" s="1">
        <v>851</v>
      </c>
      <c r="K122" s="1">
        <v>14</v>
      </c>
      <c r="L122" s="1"/>
      <c r="M122" s="4">
        <f>A!D122-A!D123</f>
        <v>12</v>
      </c>
      <c r="N122" s="11">
        <f>SUM(A!P122:P128)/7*A!N$3</f>
        <v>117.05142857142857</v>
      </c>
      <c r="O122" s="4">
        <f>(SUM(A!M107:M113)/A!O$3*1000-SUM(A!P119:P125))/7+A!N121</f>
        <v>22335.850710359628</v>
      </c>
      <c r="P122" s="4">
        <f t="shared" si="28"/>
        <v>4325</v>
      </c>
      <c r="Q122" s="1">
        <f>SUM(A!P119:P125)/7</f>
        <v>7260.8571428571431</v>
      </c>
      <c r="S122" s="4"/>
      <c r="T122" s="8"/>
      <c r="U122" s="8"/>
      <c r="V122" s="8"/>
      <c r="W122" s="8"/>
      <c r="Z122" s="10">
        <f t="shared" si="29"/>
        <v>44121</v>
      </c>
      <c r="AA122" s="1">
        <f>AI122*AI$3*2</f>
        <v>2527432</v>
      </c>
      <c r="AB122" s="1">
        <f t="shared" si="32"/>
        <v>62830.285714285717</v>
      </c>
      <c r="AC122" s="1">
        <f t="shared" si="33"/>
        <v>15273.257882299138</v>
      </c>
      <c r="AD122" s="1">
        <f t="shared" si="34"/>
        <v>193414.53603841423</v>
      </c>
      <c r="AF122" s="10">
        <f t="shared" si="30"/>
        <v>44121</v>
      </c>
      <c r="AG122" s="6">
        <f t="shared" si="35"/>
        <v>0.18009770308408821</v>
      </c>
      <c r="AH122" s="6">
        <f t="shared" si="31"/>
        <v>0.73556561676612331</v>
      </c>
      <c r="AI122" s="6">
        <f>V$21/V$57*AI$4</f>
        <v>1.4828555743207847</v>
      </c>
      <c r="AJ122" s="1"/>
    </row>
    <row r="123" spans="2:36" ht="15.6">
      <c r="B123" s="2">
        <f t="shared" si="27"/>
        <v>44122</v>
      </c>
      <c r="C123" s="1">
        <v>361974</v>
      </c>
      <c r="D123" s="1">
        <v>9777</v>
      </c>
      <c r="E123" s="1">
        <f>+E124+1800</f>
        <v>291800</v>
      </c>
      <c r="F123" s="1">
        <f>+A!C123-A!D123-A!E123</f>
        <v>60397</v>
      </c>
      <c r="G123" s="1"/>
      <c r="H123" s="4">
        <f>SUM(A!J123:J129)/7*1000000/A!H$3-SUM(A!F123:F129)/7*(1-A!N$3)</f>
        <v>11849.812698412708</v>
      </c>
      <c r="I123" s="7">
        <f>SUM(A!F120:F126)/7</f>
        <v>58668.714285714283</v>
      </c>
      <c r="J123" s="1">
        <v>769</v>
      </c>
      <c r="K123" s="1">
        <v>12</v>
      </c>
      <c r="L123" s="1"/>
      <c r="M123" s="4">
        <f>A!D123-A!D124</f>
        <v>10</v>
      </c>
      <c r="N123" s="11">
        <f>SUM(A!P123:P129)/7*A!N$3</f>
        <v>111.74285714285713</v>
      </c>
      <c r="O123" s="4">
        <f>(SUM(A!M108:M114)/A!O$3*1000-SUM(A!P120:P126))/7+A!N122</f>
        <v>18333.193762236297</v>
      </c>
      <c r="P123" s="4">
        <f t="shared" si="28"/>
        <v>5587</v>
      </c>
      <c r="Q123" s="1">
        <f>SUM(A!P120:P126)/7</f>
        <v>6596.7142857142853</v>
      </c>
      <c r="S123" s="4"/>
      <c r="T123" s="8"/>
      <c r="U123" s="8"/>
      <c r="V123" s="8"/>
      <c r="W123" s="8"/>
      <c r="Z123" s="10">
        <f t="shared" si="29"/>
        <v>44120</v>
      </c>
      <c r="AA123" s="1">
        <f>AI123*AI$3*2</f>
        <v>2527432</v>
      </c>
      <c r="AB123" s="1">
        <f t="shared" si="32"/>
        <v>58668.714285714283</v>
      </c>
      <c r="AC123" s="1">
        <f t="shared" si="33"/>
        <v>15625.037754116456</v>
      </c>
      <c r="AD123" s="1">
        <f t="shared" si="34"/>
        <v>196648.6404527445</v>
      </c>
      <c r="AF123" s="10">
        <f t="shared" si="30"/>
        <v>44120</v>
      </c>
      <c r="AG123" s="6">
        <f t="shared" si="35"/>
        <v>0.19425005495403866</v>
      </c>
      <c r="AH123" s="6">
        <f t="shared" si="31"/>
        <v>0.75211359877429385</v>
      </c>
      <c r="AI123" s="6">
        <f>V$21/V$57*AI$4</f>
        <v>1.4828555743207847</v>
      </c>
      <c r="AJ123" s="1"/>
    </row>
    <row r="124" spans="2:36" ht="15.6">
      <c r="B124" s="2">
        <f t="shared" si="27"/>
        <v>44121</v>
      </c>
      <c r="C124" s="1">
        <v>356387</v>
      </c>
      <c r="D124" s="1">
        <v>9767</v>
      </c>
      <c r="E124" s="1">
        <f>+E125+2400</f>
        <v>290000</v>
      </c>
      <c r="F124" s="1">
        <f>+A!C124-A!D124-A!E124</f>
        <v>56620</v>
      </c>
      <c r="G124" s="1"/>
      <c r="H124" s="4">
        <f>SUM(A!J124:J130)/7*1000000/A!H$3-SUM(A!F124:F130)/7*(1-A!N$3)</f>
        <v>12078.088253968264</v>
      </c>
      <c r="I124" s="7">
        <f>SUM(A!F121:F127)/7</f>
        <v>54986</v>
      </c>
      <c r="J124" s="1">
        <v>730</v>
      </c>
      <c r="K124" s="1">
        <v>12</v>
      </c>
      <c r="L124" s="1"/>
      <c r="M124" s="4">
        <f>A!D124-A!D125</f>
        <v>33</v>
      </c>
      <c r="N124" s="11">
        <f>SUM(A!P124:P130)/7*A!N$3</f>
        <v>105.73142857142857</v>
      </c>
      <c r="O124" s="4">
        <f>(SUM(A!M109:M115)/A!O$3*1000-SUM(A!P121:P127))/7+A!N123</f>
        <v>17371.047364288333</v>
      </c>
      <c r="P124" s="4">
        <f t="shared" si="28"/>
        <v>7830</v>
      </c>
      <c r="Q124" s="1">
        <f>SUM(A!P121:P127)/7</f>
        <v>6244.8571428571431</v>
      </c>
      <c r="S124" s="4"/>
      <c r="T124" s="8"/>
      <c r="U124" s="8"/>
      <c r="V124" s="8"/>
      <c r="W124" s="8"/>
      <c r="Z124" s="10">
        <f t="shared" si="29"/>
        <v>44119</v>
      </c>
      <c r="AA124" s="1">
        <f>AI124*AI$3*2</f>
        <v>2527432</v>
      </c>
      <c r="AB124" s="1">
        <f t="shared" si="32"/>
        <v>54986</v>
      </c>
      <c r="AC124" s="1">
        <f t="shared" si="33"/>
        <v>15932.505230944424</v>
      </c>
      <c r="AD124" s="1">
        <f t="shared" si="34"/>
        <v>165198.29739805404</v>
      </c>
      <c r="AF124" s="10">
        <f t="shared" si="30"/>
        <v>44119</v>
      </c>
      <c r="AG124" s="6">
        <f t="shared" si="35"/>
        <v>0.20770619344520766</v>
      </c>
      <c r="AH124" s="6">
        <f t="shared" si="31"/>
        <v>0.73105414243825118</v>
      </c>
      <c r="AI124" s="6">
        <f>V$21/V$57*AI$4</f>
        <v>1.4828555743207847</v>
      </c>
      <c r="AJ124" s="1"/>
    </row>
    <row r="125" spans="2:36" ht="15.6">
      <c r="B125" s="2">
        <f t="shared" si="27"/>
        <v>44120</v>
      </c>
      <c r="C125" s="1">
        <v>348557</v>
      </c>
      <c r="D125" s="1">
        <v>9734</v>
      </c>
      <c r="E125" s="1">
        <f>+E126+3000</f>
        <v>287600</v>
      </c>
      <c r="F125" s="1">
        <f>+A!C125-A!D125-A!E125</f>
        <v>51223</v>
      </c>
      <c r="G125" s="1"/>
      <c r="H125" s="4">
        <f>SUM(A!J125:J131)/7*1000000/A!H$3-SUM(A!F125:F131)/7*(1-A!N$3)</f>
        <v>12411.822539682536</v>
      </c>
      <c r="I125" s="7">
        <f>SUM(A!F122:F128)/7</f>
        <v>51484.285714285717</v>
      </c>
      <c r="J125" s="1">
        <v>690</v>
      </c>
      <c r="K125" s="1">
        <v>10</v>
      </c>
      <c r="L125" s="1"/>
      <c r="M125" s="4">
        <f>A!D125-A!D126</f>
        <v>24</v>
      </c>
      <c r="N125" s="11">
        <f>SUM(A!P125:P131)/7*A!N$3</f>
        <v>96.848571428571432</v>
      </c>
      <c r="O125" s="4">
        <f>(SUM(A!M110:M116)/A!O$3*1000-SUM(A!P122:P128))/7+A!N124</f>
        <v>17757.321650002617</v>
      </c>
      <c r="P125" s="4">
        <f t="shared" si="28"/>
        <v>7334</v>
      </c>
      <c r="Q125" s="1">
        <f>SUM(A!P122:P128)/7</f>
        <v>5852.5714285714284</v>
      </c>
      <c r="S125" s="4"/>
      <c r="T125" s="8"/>
      <c r="U125" s="8"/>
      <c r="V125" s="8"/>
      <c r="W125" s="8"/>
      <c r="Z125" s="10">
        <f t="shared" si="29"/>
        <v>44118</v>
      </c>
      <c r="AA125" s="1">
        <f>AI125*AI$3*2</f>
        <v>2527432</v>
      </c>
      <c r="AB125" s="1">
        <f t="shared" si="32"/>
        <v>51484.285714285717</v>
      </c>
      <c r="AC125" s="1">
        <f t="shared" si="33"/>
        <v>16115.962567003638</v>
      </c>
      <c r="AD125" s="1">
        <f t="shared" si="34"/>
        <v>151173.75700160861</v>
      </c>
      <c r="AF125" s="10">
        <f t="shared" si="30"/>
        <v>44118</v>
      </c>
      <c r="AG125" s="6">
        <f t="shared" si="35"/>
        <v>0.22033037448811399</v>
      </c>
      <c r="AH125" s="6">
        <f t="shared" si="31"/>
        <v>0.7260906164760027</v>
      </c>
      <c r="AI125" s="6">
        <f>V$21/V$57*AI$4</f>
        <v>1.4828555743207847</v>
      </c>
      <c r="AJ125" s="1"/>
    </row>
    <row r="126" spans="2:36" ht="15.6">
      <c r="B126" s="2">
        <f t="shared" si="27"/>
        <v>44119</v>
      </c>
      <c r="C126" s="1">
        <v>341223</v>
      </c>
      <c r="D126" s="1">
        <v>9710</v>
      </c>
      <c r="E126" s="1">
        <f>+E127+2700</f>
        <v>284600</v>
      </c>
      <c r="F126" s="1">
        <f>+A!C126-A!D126-A!E126</f>
        <v>46913</v>
      </c>
      <c r="G126" s="1"/>
      <c r="H126" s="4">
        <f>SUM(A!J126:J132)/7*1000000/A!H$3-SUM(A!F126:F132)/7*(1-A!N$3)</f>
        <v>12639.388253968267</v>
      </c>
      <c r="I126" s="7">
        <f>SUM(A!F123:F129)/7</f>
        <v>48212.857142857145</v>
      </c>
      <c r="J126" s="1">
        <v>655</v>
      </c>
      <c r="K126" s="1">
        <v>22</v>
      </c>
      <c r="L126" s="1"/>
      <c r="M126" s="4">
        <f>A!D126-A!D127</f>
        <v>33</v>
      </c>
      <c r="N126" s="11">
        <f>SUM(A!P126:P132)/7*A!N$3</f>
        <v>88.797142857142859</v>
      </c>
      <c r="O126" s="4">
        <f>(SUM(A!M111:M117)/A!O$3*1000-SUM(A!P123:P129))/7+A!N125</f>
        <v>15187.086230435008</v>
      </c>
      <c r="P126" s="4">
        <f t="shared" si="28"/>
        <v>6638</v>
      </c>
      <c r="Q126" s="1">
        <f>SUM(A!P123:P129)/7</f>
        <v>5587.1428571428569</v>
      </c>
      <c r="S126" s="4"/>
      <c r="T126" s="8"/>
      <c r="U126" s="8"/>
      <c r="V126" s="8"/>
      <c r="W126" s="8"/>
      <c r="Z126" s="10">
        <f t="shared" si="29"/>
        <v>44117</v>
      </c>
      <c r="AA126" s="1">
        <f>AI126*AI$3*2</f>
        <v>2527432</v>
      </c>
      <c r="AB126" s="1">
        <f t="shared" si="32"/>
        <v>48212.857142857145</v>
      </c>
      <c r="AC126" s="1">
        <f t="shared" si="33"/>
        <v>16599.195067191962</v>
      </c>
      <c r="AD126" s="1">
        <f t="shared" si="34"/>
        <v>126013.03115283094</v>
      </c>
      <c r="AF126" s="10">
        <f t="shared" si="30"/>
        <v>44117</v>
      </c>
      <c r="AG126" s="6">
        <f t="shared" si="35"/>
        <v>0.23610340940670418</v>
      </c>
      <c r="AH126" s="6">
        <f t="shared" si="31"/>
        <v>0.70116854539726436</v>
      </c>
      <c r="AI126" s="6">
        <f>V$21/V$57*AI$4</f>
        <v>1.4828555743207847</v>
      </c>
      <c r="AJ126" s="1"/>
    </row>
    <row r="127" spans="2:36" ht="15.6">
      <c r="B127" s="2">
        <f t="shared" si="27"/>
        <v>44118</v>
      </c>
      <c r="C127" s="1">
        <v>334585</v>
      </c>
      <c r="D127" s="1">
        <v>9677</v>
      </c>
      <c r="E127" s="1">
        <f>+E128+2600</f>
        <v>281900</v>
      </c>
      <c r="F127" s="1">
        <f>+A!C127-A!D127-A!E127</f>
        <v>43008</v>
      </c>
      <c r="G127" s="1"/>
      <c r="H127" s="4">
        <f>SUM(A!J127:J133)/7*1000000/A!H$3-SUM(A!F127:F133)/7*(1-A!N$3)</f>
        <v>12738.634920634926</v>
      </c>
      <c r="I127" s="7">
        <f>SUM(A!F124:F130)/7</f>
        <v>45077.428571428572</v>
      </c>
      <c r="J127" s="1">
        <v>602</v>
      </c>
      <c r="K127" s="1">
        <v>6</v>
      </c>
      <c r="L127" s="1"/>
      <c r="M127" s="4">
        <f>A!D127-A!D128</f>
        <v>43</v>
      </c>
      <c r="N127" s="11">
        <f>SUM(A!P127:P133)/7*A!N$3</f>
        <v>81.425714285714292</v>
      </c>
      <c r="O127" s="4">
        <f>(SUM(A!M112:M118)/A!O$3*1000-SUM(A!P124:P130))/7+A!N126</f>
        <v>14013.867864733291</v>
      </c>
      <c r="P127" s="4">
        <f t="shared" si="28"/>
        <v>5132</v>
      </c>
      <c r="Q127" s="1">
        <f>SUM(A!P124:P130)/7</f>
        <v>5286.5714285714284</v>
      </c>
      <c r="S127" s="4"/>
      <c r="T127" s="8"/>
      <c r="U127" s="8"/>
      <c r="V127" s="8"/>
      <c r="W127" s="8"/>
      <c r="Z127" s="10">
        <f t="shared" si="29"/>
        <v>44116</v>
      </c>
      <c r="AA127" s="1">
        <f>AI127*AI$3*2</f>
        <v>2527432</v>
      </c>
      <c r="AB127" s="1">
        <f t="shared" si="32"/>
        <v>45077.428571428572</v>
      </c>
      <c r="AC127" s="1">
        <f t="shared" si="33"/>
        <v>16020.979838205129</v>
      </c>
      <c r="AD127" s="1">
        <f t="shared" si="34"/>
        <v>105844.65381550395</v>
      </c>
      <c r="AF127" s="10">
        <f t="shared" si="30"/>
        <v>44116</v>
      </c>
      <c r="AG127" s="6">
        <f t="shared" si="35"/>
        <v>0.24171360181801319</v>
      </c>
      <c r="AH127" s="6">
        <f t="shared" si="31"/>
        <v>0.67803712503693547</v>
      </c>
      <c r="AI127" s="6">
        <f>V$21/V$57*AI$4</f>
        <v>1.4828555743207847</v>
      </c>
      <c r="AJ127" s="1" t="str">
        <f>AJ120</f>
        <v>x</v>
      </c>
    </row>
    <row r="128" spans="2:36" ht="15.6">
      <c r="B128" s="2">
        <f t="shared" si="27"/>
        <v>44117</v>
      </c>
      <c r="C128" s="1">
        <v>329453</v>
      </c>
      <c r="D128" s="1">
        <v>9634</v>
      </c>
      <c r="E128" s="1">
        <v>279300</v>
      </c>
      <c r="F128" s="1">
        <f>+A!C128-A!D128-A!E128</f>
        <v>40519</v>
      </c>
      <c r="G128" s="1"/>
      <c r="H128" s="4">
        <f>SUM(A!J128:J134)/7*1000000/A!H$3-SUM(A!F128:F134)/7*(1-A!N$3)</f>
        <v>13034.204444444447</v>
      </c>
      <c r="I128" s="7">
        <f>SUM(A!F125:F131)/7</f>
        <v>42171.285714285717</v>
      </c>
      <c r="J128" s="1">
        <v>618</v>
      </c>
      <c r="K128" s="1">
        <v>18</v>
      </c>
      <c r="L128" s="1"/>
      <c r="M128" s="4">
        <f>A!D128-A!D129</f>
        <v>13</v>
      </c>
      <c r="N128" s="11">
        <f>SUM(A!P128:P134)/7*A!N$3</f>
        <v>74.842857142857142</v>
      </c>
      <c r="O128" s="4">
        <f>(SUM(A!M113:M119)/A!O$3*1000-SUM(A!P125:P131))/7+A!N127</f>
        <v>11362.119165576087</v>
      </c>
      <c r="P128" s="4">
        <f t="shared" si="28"/>
        <v>4122</v>
      </c>
      <c r="Q128" s="1">
        <f>SUM(A!P125:P131)/7</f>
        <v>4842.4285714285716</v>
      </c>
      <c r="S128" s="4"/>
      <c r="T128" s="8"/>
      <c r="U128" s="8"/>
      <c r="V128" s="8"/>
      <c r="W128" s="8"/>
      <c r="Z128" s="10">
        <f t="shared" si="29"/>
        <v>44115</v>
      </c>
      <c r="AA128" s="1">
        <f>AI128*AI$3*2</f>
        <v>2376675.9999999995</v>
      </c>
      <c r="AB128" s="1">
        <f t="shared" si="32"/>
        <v>42171.285714285717</v>
      </c>
      <c r="AC128" s="1">
        <f t="shared" si="33"/>
        <v>15598.591130209761</v>
      </c>
      <c r="AD128" s="1">
        <f t="shared" si="34"/>
        <v>114982.1604685452</v>
      </c>
      <c r="AF128" s="10">
        <f t="shared" si="30"/>
        <v>44115</v>
      </c>
      <c r="AG128" s="6">
        <f t="shared" si="35"/>
        <v>0.24948613879374076</v>
      </c>
      <c r="AH128" s="6">
        <f t="shared" si="31"/>
        <v>0.710176544414439</v>
      </c>
      <c r="AI128" s="6">
        <f>V$22/V$57*AI$4</f>
        <v>1.3944063598761214</v>
      </c>
      <c r="AJ128" s="1"/>
    </row>
    <row r="129" spans="2:36" ht="15.6">
      <c r="B129" s="2">
        <f t="shared" si="27"/>
        <v>44116</v>
      </c>
      <c r="C129" s="1">
        <v>325331</v>
      </c>
      <c r="D129" s="1">
        <v>9621</v>
      </c>
      <c r="E129" s="1">
        <v>276900</v>
      </c>
      <c r="F129" s="1">
        <f>+A!C129-A!D129-A!E129</f>
        <v>38810</v>
      </c>
      <c r="G129" s="1"/>
      <c r="H129" s="4">
        <f>SUM(A!J129:J135)/7*1000000/A!H$3-SUM(A!F129:F135)/7*(1-A!N$3)</f>
        <v>12625.152698412698</v>
      </c>
      <c r="I129" s="7">
        <f>SUM(A!F126:F132)/7</f>
        <v>39606.714285714283</v>
      </c>
      <c r="J129" s="1">
        <v>590</v>
      </c>
      <c r="K129" s="1">
        <v>-11</v>
      </c>
      <c r="L129" s="1"/>
      <c r="M129" s="4">
        <f>A!D129-A!D130</f>
        <v>6</v>
      </c>
      <c r="N129" s="11">
        <f>SUM(A!P129:P135)/7*A!N$3</f>
        <v>70.605714285714285</v>
      </c>
      <c r="O129" s="4">
        <f>(SUM(A!M114:M120)/A!O$3*1000-SUM(A!P126:P132))/7+A!N128</f>
        <v>9350.1089933518306</v>
      </c>
      <c r="P129" s="4">
        <f t="shared" si="28"/>
        <v>2467</v>
      </c>
      <c r="Q129" s="1">
        <f>SUM(A!P126:P132)/7</f>
        <v>4439.8571428571431</v>
      </c>
      <c r="S129" s="4"/>
      <c r="T129" s="8"/>
      <c r="U129" s="8"/>
      <c r="V129" s="8"/>
      <c r="W129" s="8"/>
      <c r="Z129" s="10">
        <f t="shared" si="29"/>
        <v>44114</v>
      </c>
      <c r="AA129" s="1">
        <f>AI129*AI$3*2</f>
        <v>2376675.9999999995</v>
      </c>
      <c r="AB129" s="1">
        <f t="shared" si="32"/>
        <v>39606.714285714283</v>
      </c>
      <c r="AC129" s="1">
        <f t="shared" si="33"/>
        <v>15412.160726974327</v>
      </c>
      <c r="AD129" s="1">
        <f t="shared" si="34"/>
        <v>113825.8617588231</v>
      </c>
      <c r="AF129" s="10">
        <f t="shared" si="30"/>
        <v>44114</v>
      </c>
      <c r="AG129" s="6">
        <f t="shared" si="35"/>
        <v>0.25927808510502454</v>
      </c>
      <c r="AH129" s="6">
        <f t="shared" si="31"/>
        <v>0.72107270176365879</v>
      </c>
      <c r="AI129" s="6">
        <f>V$22/V$57*AI$4</f>
        <v>1.3944063598761214</v>
      </c>
      <c r="AJ129" s="1"/>
    </row>
    <row r="130" spans="2:36" ht="15.6">
      <c r="B130" s="2">
        <f t="shared" si="27"/>
        <v>44115</v>
      </c>
      <c r="C130" s="1">
        <v>322864</v>
      </c>
      <c r="D130" s="1">
        <v>9615</v>
      </c>
      <c r="E130" s="1">
        <f>+E131+1300</f>
        <v>274800</v>
      </c>
      <c r="F130" s="1">
        <f>+A!C130-A!D130-A!E130</f>
        <v>38449</v>
      </c>
      <c r="G130" s="1"/>
      <c r="H130" s="4">
        <f>SUM(A!J130:J136)/7*1000000/A!H$3-SUM(A!F130:F136)/7*(1-A!N$3)</f>
        <v>12408.779682539684</v>
      </c>
      <c r="I130" s="7">
        <f>SUM(A!F127:F133)/7</f>
        <v>37328.571428571428</v>
      </c>
      <c r="J130" s="1">
        <v>545</v>
      </c>
      <c r="K130" s="1">
        <v>13</v>
      </c>
      <c r="L130" s="1"/>
      <c r="M130" s="4">
        <f>A!D130-A!D131</f>
        <v>11</v>
      </c>
      <c r="N130" s="11">
        <f>SUM(A!P130:P136)/7*A!N$3</f>
        <v>67.505714285714291</v>
      </c>
      <c r="O130" s="4">
        <f>(SUM(A!M115:M121)/A!O$3*1000-SUM(A!P127:P133))/7+A!N129</f>
        <v>9976.1822729414216</v>
      </c>
      <c r="P130" s="4">
        <f t="shared" si="28"/>
        <v>3483</v>
      </c>
      <c r="Q130" s="1">
        <f>SUM(A!P127:P133)/7</f>
        <v>4071.2857142857142</v>
      </c>
      <c r="S130" s="4"/>
      <c r="T130" s="8"/>
      <c r="U130" s="8"/>
      <c r="V130" s="8"/>
      <c r="W130" s="8"/>
      <c r="Z130" s="10">
        <f t="shared" si="29"/>
        <v>44113</v>
      </c>
      <c r="AA130" s="1">
        <f>AI130*AI$3*2</f>
        <v>2376675.9999999995</v>
      </c>
      <c r="AB130" s="1">
        <f t="shared" si="32"/>
        <v>37328.571428571428</v>
      </c>
      <c r="AC130" s="1">
        <f t="shared" si="33"/>
        <v>14658.698196720103</v>
      </c>
      <c r="AD130" s="1">
        <f t="shared" si="34"/>
        <v>104381.28961312943</v>
      </c>
      <c r="AF130" s="10">
        <f t="shared" si="30"/>
        <v>44113</v>
      </c>
      <c r="AG130" s="6">
        <f t="shared" si="35"/>
        <v>0.26120614709700002</v>
      </c>
      <c r="AH130" s="6">
        <f t="shared" si="31"/>
        <v>0.71571556251111934</v>
      </c>
      <c r="AI130" s="6">
        <f>V$22/V$57*AI$4</f>
        <v>1.3944063598761214</v>
      </c>
      <c r="AJ130" s="1"/>
    </row>
    <row r="131" spans="2:36" ht="15.6">
      <c r="B131" s="2">
        <f t="shared" si="27"/>
        <v>44114</v>
      </c>
      <c r="C131" s="1">
        <v>319381</v>
      </c>
      <c r="D131" s="1">
        <v>9604</v>
      </c>
      <c r="E131" s="1">
        <f>+E132+1700</f>
        <v>273500</v>
      </c>
      <c r="F131" s="1">
        <f>+A!C131-A!D131-A!E131</f>
        <v>36277</v>
      </c>
      <c r="G131" s="1"/>
      <c r="H131" s="4">
        <f>SUM(A!J131:J137)/7*1000000/A!H$3-SUM(A!F131:F137)/7*(1-A!N$3)</f>
        <v>12362.011746031756</v>
      </c>
      <c r="I131" s="7">
        <f>SUM(A!F128:F134)/7</f>
        <v>35316.571428571428</v>
      </c>
      <c r="J131" s="1">
        <v>532</v>
      </c>
      <c r="K131" s="1">
        <v>8</v>
      </c>
      <c r="L131" s="1"/>
      <c r="M131" s="4">
        <f>A!D131-A!D132</f>
        <v>15</v>
      </c>
      <c r="N131" s="11">
        <f>SUM(A!P131:P137)/7*A!N$3</f>
        <v>64.065714285714279</v>
      </c>
      <c r="O131" s="4">
        <f>(SUM(A!M116:M122)/A!O$3*1000-SUM(A!P128:P134))/7+A!N130</f>
        <v>9674.0515447835423</v>
      </c>
      <c r="P131" s="4">
        <f t="shared" si="28"/>
        <v>4721</v>
      </c>
      <c r="Q131" s="1">
        <f>SUM(A!P128:P134)/7</f>
        <v>3742.1428571428573</v>
      </c>
      <c r="S131" s="4"/>
      <c r="T131" s="8"/>
      <c r="U131" s="8"/>
      <c r="V131" s="8"/>
      <c r="W131" s="8"/>
      <c r="Z131" s="10">
        <f t="shared" si="29"/>
        <v>44112</v>
      </c>
      <c r="AA131" s="1">
        <f>AI131*AI$3*2</f>
        <v>2376675.9999999995</v>
      </c>
      <c r="AB131" s="1">
        <f t="shared" si="32"/>
        <v>35316.571428571428</v>
      </c>
      <c r="AC131" s="1">
        <f t="shared" si="33"/>
        <v>13833.773346908076</v>
      </c>
      <c r="AD131" s="1">
        <f t="shared" si="34"/>
        <v>95545.353583102915</v>
      </c>
      <c r="AF131" s="10">
        <f t="shared" si="30"/>
        <v>44112</v>
      </c>
      <c r="AG131" s="6">
        <f t="shared" si="35"/>
        <v>0.26019793922880813</v>
      </c>
      <c r="AH131" s="6">
        <f t="shared" si="31"/>
        <v>0.70838392253464011</v>
      </c>
      <c r="AI131" s="6">
        <f>V$22/V$57*AI$4</f>
        <v>1.3944063598761214</v>
      </c>
      <c r="AJ131" s="1"/>
    </row>
    <row r="132" spans="2:36" ht="15.6">
      <c r="B132" s="2">
        <f t="shared" si="27"/>
        <v>44113</v>
      </c>
      <c r="C132" s="1">
        <v>314660</v>
      </c>
      <c r="D132" s="1">
        <v>9589</v>
      </c>
      <c r="E132" s="1">
        <f>+E133+2200</f>
        <v>271800</v>
      </c>
      <c r="F132" s="1">
        <f>+A!C132-A!D132-A!E132</f>
        <v>33271</v>
      </c>
      <c r="G132" s="1"/>
      <c r="H132" s="4">
        <f>SUM(A!J132:J138)/7*1000000/A!H$3-SUM(A!F132:F138)/7*(1-A!N$3)</f>
        <v>11859.785079365083</v>
      </c>
      <c r="I132" s="7">
        <f>SUM(A!F129:F135)/7</f>
        <v>33544.142857142855</v>
      </c>
      <c r="J132" s="1">
        <v>510</v>
      </c>
      <c r="K132" s="1">
        <v>35</v>
      </c>
      <c r="L132" s="1"/>
      <c r="M132" s="4">
        <f>A!D132-A!D133</f>
        <v>11</v>
      </c>
      <c r="N132" s="11">
        <f>SUM(A!P132:P138)/7*A!N$3</f>
        <v>57.9</v>
      </c>
      <c r="O132" s="4">
        <f>(SUM(A!M117:M123)/A!O$3*1000-SUM(A!P129:P135))/7+A!N131</f>
        <v>8887.8605109145174</v>
      </c>
      <c r="P132" s="4">
        <f t="shared" si="28"/>
        <v>4516</v>
      </c>
      <c r="Q132" s="1">
        <f>SUM(A!P129:P135)/7</f>
        <v>3530.2857142857142</v>
      </c>
      <c r="S132" s="4"/>
      <c r="T132" s="8"/>
      <c r="U132" s="8"/>
      <c r="V132" s="8"/>
      <c r="W132" s="8"/>
      <c r="Z132" s="10">
        <f t="shared" si="29"/>
        <v>44111</v>
      </c>
      <c r="AA132" s="1">
        <f>AI132*AI$3*2</f>
        <v>2376675.9999999995</v>
      </c>
      <c r="AB132" s="1">
        <f t="shared" si="32"/>
        <v>33544.142857142855</v>
      </c>
      <c r="AC132" s="1">
        <f t="shared" si="33"/>
        <v>12930.603667595356</v>
      </c>
      <c r="AD132" s="1">
        <f t="shared" si="34"/>
        <v>82520.066716438261</v>
      </c>
      <c r="AF132" s="10">
        <f t="shared" si="30"/>
        <v>44111</v>
      </c>
      <c r="AG132" s="6">
        <f t="shared" si="35"/>
        <v>0.25662635312917631</v>
      </c>
      <c r="AH132" s="6">
        <f t="shared" si="31"/>
        <v>0.68780276316607059</v>
      </c>
      <c r="AI132" s="6">
        <f>V$22/V$57*AI$4</f>
        <v>1.3944063598761214</v>
      </c>
      <c r="AJ132" s="1"/>
    </row>
    <row r="133" spans="2:36" ht="15.6">
      <c r="B133" s="2">
        <f t="shared" si="27"/>
        <v>44112</v>
      </c>
      <c r="C133" s="1">
        <v>310144</v>
      </c>
      <c r="D133" s="1">
        <v>9578</v>
      </c>
      <c r="E133" s="1">
        <v>269600</v>
      </c>
      <c r="F133" s="1">
        <f>+A!C133-A!D133-A!E133</f>
        <v>30966</v>
      </c>
      <c r="G133" s="1"/>
      <c r="H133" s="4">
        <f>SUM(A!J133:J139)/7*1000000/A!H$3-SUM(A!F133:F139)/7*(1-A!N$3)</f>
        <v>11223.862539682537</v>
      </c>
      <c r="I133" s="7">
        <f>SUM(A!F130:F136)/7</f>
        <v>31912</v>
      </c>
      <c r="J133" s="1">
        <v>487</v>
      </c>
      <c r="K133" s="1">
        <v>30</v>
      </c>
      <c r="L133" s="1"/>
      <c r="M133" s="4">
        <f>A!D133-A!D134</f>
        <v>16</v>
      </c>
      <c r="N133" s="11">
        <f>SUM(A!P133:P139)/7*A!N$3</f>
        <v>52.634285714285717</v>
      </c>
      <c r="O133" s="4">
        <f>(SUM(A!M118:M124)/A!O$3*1000-SUM(A!P130:P136))/7+A!N132</f>
        <v>8199.1300162278185</v>
      </c>
      <c r="P133" s="4">
        <f t="shared" si="28"/>
        <v>4058</v>
      </c>
      <c r="Q133" s="1">
        <f>SUM(A!P130:P136)/7</f>
        <v>3375.2857142857142</v>
      </c>
      <c r="S133" s="4"/>
      <c r="T133" s="8"/>
      <c r="U133" s="8"/>
      <c r="V133" s="8"/>
      <c r="W133" s="8"/>
      <c r="Z133" s="10">
        <f t="shared" si="29"/>
        <v>44110</v>
      </c>
      <c r="AA133" s="1">
        <f>AI133*AI$3*2</f>
        <v>2376675.9999999995</v>
      </c>
      <c r="AB133" s="1">
        <f t="shared" si="32"/>
        <v>31912</v>
      </c>
      <c r="AC133" s="1">
        <f t="shared" si="33"/>
        <v>12075.379557533532</v>
      </c>
      <c r="AD133" s="1">
        <f t="shared" si="34"/>
        <v>93189.01647011863</v>
      </c>
      <c r="AF133" s="10">
        <f t="shared" si="30"/>
        <v>44110</v>
      </c>
      <c r="AG133" s="6">
        <f t="shared" si="35"/>
        <v>0.25178048161542183</v>
      </c>
      <c r="AH133" s="6">
        <f t="shared" si="31"/>
        <v>0.72198362180233766</v>
      </c>
      <c r="AI133" s="6">
        <f>V$22/V$57*AI$4</f>
        <v>1.3944063598761214</v>
      </c>
      <c r="AJ133" s="1"/>
    </row>
    <row r="134" spans="2:36" ht="15.6">
      <c r="B134" s="2">
        <f t="shared" si="27"/>
        <v>44111</v>
      </c>
      <c r="C134" s="1">
        <v>306086</v>
      </c>
      <c r="D134" s="1">
        <v>9562</v>
      </c>
      <c r="E134" s="1">
        <f>+E133-2000</f>
        <v>267600</v>
      </c>
      <c r="F134" s="1">
        <f>+A!C134-A!D134-A!E134</f>
        <v>28924</v>
      </c>
      <c r="G134" s="1"/>
      <c r="H134" s="4">
        <f>SUM(A!J134:J140)/7*1000000/A!H$3-SUM(A!F134:F140)/7*(1-A!N$3)</f>
        <v>10491.832063492067</v>
      </c>
      <c r="I134" s="7">
        <f>SUM(A!F131:F137)/7</f>
        <v>30391.857142857141</v>
      </c>
      <c r="J134" s="1">
        <v>470</v>
      </c>
      <c r="K134" s="1">
        <v>-5</v>
      </c>
      <c r="L134" s="1"/>
      <c r="M134" s="4">
        <f>A!D134-A!D135</f>
        <v>16</v>
      </c>
      <c r="N134" s="11">
        <f>SUM(A!P134:P140)/7*A!N$3</f>
        <v>48.191428571428567</v>
      </c>
      <c r="O134" s="4">
        <f>(SUM(A!M119:M125)/A!O$3*1000-SUM(A!P131:P137))/7+A!N133</f>
        <v>7057.1693325655642</v>
      </c>
      <c r="P134" s="4">
        <f t="shared" si="28"/>
        <v>2828</v>
      </c>
      <c r="Q134" s="1">
        <f>SUM(A!P131:P137)/7</f>
        <v>3203.2857142857142</v>
      </c>
      <c r="S134" s="4"/>
      <c r="T134" s="8"/>
      <c r="U134" s="8"/>
      <c r="V134" s="8"/>
      <c r="W134" s="8"/>
      <c r="Z134" s="10">
        <f t="shared" si="29"/>
        <v>44109</v>
      </c>
      <c r="AA134" s="1">
        <f>AI134*AI$3*2</f>
        <v>2376675.9999999995</v>
      </c>
      <c r="AB134" s="1">
        <f t="shared" si="32"/>
        <v>30391.857142857141</v>
      </c>
      <c r="AC134" s="1">
        <f t="shared" si="33"/>
        <v>11205.602163669262</v>
      </c>
      <c r="AD134" s="1">
        <f t="shared" si="34"/>
        <v>103749.34197747373</v>
      </c>
      <c r="AF134" s="10">
        <f t="shared" si="30"/>
        <v>44109</v>
      </c>
      <c r="AG134" s="6">
        <f t="shared" si="35"/>
        <v>0.24688685080259304</v>
      </c>
      <c r="AH134" s="6">
        <f t="shared" si="31"/>
        <v>0.75218105247187084</v>
      </c>
      <c r="AI134" s="6">
        <f>V$22/V$57*AI$4</f>
        <v>1.3944063598761214</v>
      </c>
      <c r="AJ134" s="1" t="str">
        <f>AJ127</f>
        <v>x</v>
      </c>
    </row>
    <row r="135" spans="2:36" ht="15.6">
      <c r="B135" s="2">
        <f t="shared" si="27"/>
        <v>44110</v>
      </c>
      <c r="C135" s="1">
        <v>303258</v>
      </c>
      <c r="D135" s="1">
        <v>9546</v>
      </c>
      <c r="E135" s="1">
        <f>+E136+1900</f>
        <v>265600</v>
      </c>
      <c r="F135" s="1">
        <f>+A!C135-A!D135-A!E135</f>
        <v>28112</v>
      </c>
      <c r="G135" s="1"/>
      <c r="H135" s="4">
        <f>SUM(A!J135:J141)/7*1000000/A!H$3-SUM(A!F135:F141)/7*(1-A!N$3)</f>
        <v>9758.5346031746012</v>
      </c>
      <c r="I135" s="7">
        <f>SUM(A!F132:F138)/7</f>
        <v>28999.571428571428</v>
      </c>
      <c r="J135" s="1">
        <v>449</v>
      </c>
      <c r="K135" s="1">
        <v>5</v>
      </c>
      <c r="L135" s="1"/>
      <c r="M135" s="4">
        <f>A!D135-A!D136</f>
        <v>12</v>
      </c>
      <c r="N135" s="11">
        <f>SUM(A!P135:P141)/7*A!N$3</f>
        <v>45.248571428571431</v>
      </c>
      <c r="O135" s="4">
        <f>(SUM(A!M120:M126)/A!O$3*1000-SUM(A!P132:P138))/7+A!N134</f>
        <v>7518.0555860336071</v>
      </c>
      <c r="P135" s="4">
        <f t="shared" si="28"/>
        <v>2639</v>
      </c>
      <c r="Q135" s="1">
        <f>SUM(A!P132:P138)/7</f>
        <v>2895</v>
      </c>
      <c r="S135" s="4"/>
      <c r="T135" s="8"/>
      <c r="U135" s="8"/>
      <c r="V135" s="8"/>
      <c r="W135" s="8"/>
      <c r="Z135" s="10">
        <f t="shared" si="29"/>
        <v>44108</v>
      </c>
      <c r="AA135" s="1">
        <f>AI135*AI$3*2</f>
        <v>2225934</v>
      </c>
      <c r="AB135" s="1">
        <f t="shared" si="32"/>
        <v>28999.571428571428</v>
      </c>
      <c r="AC135" s="1">
        <f t="shared" si="33"/>
        <v>10312.480175825114</v>
      </c>
      <c r="AD135" s="1">
        <f t="shared" si="34"/>
        <v>87044.213252265457</v>
      </c>
      <c r="AF135" s="10">
        <f t="shared" si="30"/>
        <v>44108</v>
      </c>
      <c r="AG135" s="6">
        <f t="shared" si="35"/>
        <v>0.24016713014567956</v>
      </c>
      <c r="AH135" s="6">
        <f t="shared" si="31"/>
        <v>0.72736567494880244</v>
      </c>
      <c r="AI135" s="6">
        <f>V$23/V$57*AI$4</f>
        <v>1.3059653592936078</v>
      </c>
      <c r="AJ135" s="1"/>
    </row>
    <row r="136" spans="2:36" ht="15.6">
      <c r="B136" s="2">
        <f t="shared" si="27"/>
        <v>44109</v>
      </c>
      <c r="C136" s="1">
        <v>300619</v>
      </c>
      <c r="D136" s="1">
        <v>9534</v>
      </c>
      <c r="E136" s="1">
        <f>+E137+1800</f>
        <v>263700</v>
      </c>
      <c r="F136" s="1">
        <f>+A!C136-A!D136-A!E136</f>
        <v>27385</v>
      </c>
      <c r="G136" s="1"/>
      <c r="H136" s="4">
        <f>SUM(A!J136:J142)/7*1000000/A!H$3-SUM(A!F136:F142)/7*(1-A!N$3)</f>
        <v>9137.4685714285733</v>
      </c>
      <c r="I136" s="7">
        <f>SUM(A!F133:F139)/7</f>
        <v>27873.285714285714</v>
      </c>
      <c r="J136" s="1">
        <v>447</v>
      </c>
      <c r="K136" s="1">
        <v>8</v>
      </c>
      <c r="L136" s="1"/>
      <c r="M136" s="4">
        <f>A!D136-A!D137</f>
        <v>5</v>
      </c>
      <c r="N136" s="11">
        <f>SUM(A!P136:P142)/7*A!N$3</f>
        <v>43.677142857142854</v>
      </c>
      <c r="O136" s="4">
        <f>(SUM(A!M121:M127)/A!O$3*1000-SUM(A!P133:P139))/7+A!N135</f>
        <v>7987.7896382767103</v>
      </c>
      <c r="P136" s="4">
        <f t="shared" si="28"/>
        <v>1382</v>
      </c>
      <c r="Q136" s="1">
        <f>SUM(A!P133:P139)/7</f>
        <v>2631.7142857142858</v>
      </c>
      <c r="S136" s="4"/>
      <c r="T136" s="8"/>
      <c r="U136" s="8"/>
      <c r="V136" s="8"/>
      <c r="W136" s="8"/>
      <c r="Z136" s="10">
        <f t="shared" si="29"/>
        <v>44107</v>
      </c>
      <c r="AA136" s="1">
        <f>AI136*AI$3*2</f>
        <v>2225934</v>
      </c>
      <c r="AB136" s="1">
        <f t="shared" si="32"/>
        <v>27873.285714285714</v>
      </c>
      <c r="AC136" s="1">
        <f t="shared" si="33"/>
        <v>9337.3215700608125</v>
      </c>
      <c r="AD136" s="1">
        <f t="shared" si="34"/>
        <v>86712.584948160118</v>
      </c>
      <c r="AF136" s="10">
        <f t="shared" si="30"/>
        <v>44107</v>
      </c>
      <c r="AG136" s="6">
        <f t="shared" si="35"/>
        <v>0.22958240848989536</v>
      </c>
      <c r="AH136" s="6">
        <f t="shared" si="31"/>
        <v>0.73456508546899468</v>
      </c>
      <c r="AI136" s="6">
        <f>V$23/V$57*AI$4</f>
        <v>1.3059653592936078</v>
      </c>
      <c r="AJ136" s="1"/>
    </row>
    <row r="137" spans="2:36" ht="15.6">
      <c r="B137" s="2">
        <f t="shared" si="27"/>
        <v>44108</v>
      </c>
      <c r="C137" s="1">
        <v>299237</v>
      </c>
      <c r="D137" s="1">
        <v>9529</v>
      </c>
      <c r="E137" s="1">
        <f>+E138+1000</f>
        <v>261900</v>
      </c>
      <c r="F137" s="1">
        <f>+A!C137-A!D137-A!E137</f>
        <v>27808</v>
      </c>
      <c r="G137" s="1"/>
      <c r="H137" s="4">
        <f>SUM(A!J137:J143)/7*1000000/A!H$3-SUM(A!F137:F143)/7*(1-A!N$3)</f>
        <v>8505.6377777777816</v>
      </c>
      <c r="I137" s="7">
        <f>SUM(A!F134:F140)/7</f>
        <v>26909.857142857141</v>
      </c>
      <c r="J137" s="1">
        <v>424</v>
      </c>
      <c r="K137" s="1">
        <v>11</v>
      </c>
      <c r="L137" s="1"/>
      <c r="M137" s="4">
        <f>A!D137-A!D138</f>
        <v>2</v>
      </c>
      <c r="N137" s="11">
        <f>SUM(A!P137:P143)/7*A!N$3</f>
        <v>43.134285714285717</v>
      </c>
      <c r="O137" s="4">
        <f>(SUM(A!M122:M128)/A!O$3*1000-SUM(A!P134:P140))/7+A!N136</f>
        <v>6428.5359084960473</v>
      </c>
      <c r="P137" s="4">
        <f t="shared" si="28"/>
        <v>2279</v>
      </c>
      <c r="Q137" s="1">
        <f>SUM(A!P134:P140)/7</f>
        <v>2409.5714285714284</v>
      </c>
      <c r="S137" s="4"/>
      <c r="T137" s="8"/>
      <c r="U137" s="8"/>
      <c r="V137" s="8"/>
      <c r="W137" s="8"/>
      <c r="Z137" s="10">
        <f t="shared" si="29"/>
        <v>44106</v>
      </c>
      <c r="AA137" s="1">
        <f>AI137*AI$3*2</f>
        <v>2225934</v>
      </c>
      <c r="AB137" s="1">
        <f t="shared" si="32"/>
        <v>26909.857142857141</v>
      </c>
      <c r="AC137" s="1">
        <f t="shared" si="33"/>
        <v>8590.6001282524521</v>
      </c>
      <c r="AD137" s="1">
        <f t="shared" si="34"/>
        <v>88651.133092893288</v>
      </c>
      <c r="AF137" s="10">
        <f t="shared" si="30"/>
        <v>44106</v>
      </c>
      <c r="AG137" s="6">
        <f t="shared" si="35"/>
        <v>0.22089142620382779</v>
      </c>
      <c r="AH137" s="6">
        <f t="shared" si="31"/>
        <v>0.74527354879135432</v>
      </c>
      <c r="AI137" s="6">
        <f>V$23/V$57*AI$4</f>
        <v>1.3059653592936078</v>
      </c>
      <c r="AJ137" s="1"/>
    </row>
    <row r="138" spans="2:36" ht="15.6">
      <c r="B138" s="2">
        <f t="shared" si="27"/>
        <v>44107</v>
      </c>
      <c r="C138" s="1">
        <v>296958</v>
      </c>
      <c r="D138" s="1">
        <v>9527</v>
      </c>
      <c r="E138" s="1">
        <f>+E139+1400</f>
        <v>260900</v>
      </c>
      <c r="F138" s="1">
        <f>+A!C138-A!D138-A!E138</f>
        <v>26531</v>
      </c>
      <c r="G138" s="1"/>
      <c r="H138" s="4">
        <f>SUM(A!J138:J144)/7*1000000/A!H$3-SUM(A!F138:F144)/7*(1-A!N$3)</f>
        <v>7797.9949206349156</v>
      </c>
      <c r="I138" s="7">
        <f>SUM(A!F135:F141)/7</f>
        <v>26168</v>
      </c>
      <c r="J138" s="1">
        <v>385</v>
      </c>
      <c r="K138" s="1">
        <v>0</v>
      </c>
      <c r="L138" s="1"/>
      <c r="M138" s="4">
        <f>A!D138-A!D139</f>
        <v>19</v>
      </c>
      <c r="N138" s="11">
        <f>SUM(A!P138:P144)/7*A!N$3</f>
        <v>40.651428571428575</v>
      </c>
      <c r="O138" s="4">
        <f>(SUM(A!M123:M129)/A!O$3*1000-SUM(A!P135:P141))/7+A!N137</f>
        <v>6261.049115845678</v>
      </c>
      <c r="P138" s="4">
        <f t="shared" si="28"/>
        <v>2563</v>
      </c>
      <c r="Q138" s="1">
        <f>SUM(A!P135:P141)/7</f>
        <v>2262.4285714285716</v>
      </c>
      <c r="S138" s="4"/>
      <c r="T138" s="8"/>
      <c r="U138" s="8"/>
      <c r="V138" s="8"/>
      <c r="W138" s="8"/>
      <c r="Z138" s="10">
        <f t="shared" si="29"/>
        <v>44105</v>
      </c>
      <c r="AA138" s="1">
        <f>AI138*AI$3*2</f>
        <v>2225934</v>
      </c>
      <c r="AB138" s="1">
        <f t="shared" si="32"/>
        <v>26168</v>
      </c>
      <c r="AC138" s="1">
        <f t="shared" si="33"/>
        <v>8051.1513973649671</v>
      </c>
      <c r="AD138" s="1">
        <f t="shared" si="34"/>
        <v>75031.85781383529</v>
      </c>
      <c r="AF138" s="10">
        <f t="shared" si="30"/>
        <v>44105</v>
      </c>
      <c r="AG138" s="6">
        <f t="shared" si="35"/>
        <v>0.21405800194783808</v>
      </c>
      <c r="AH138" s="6">
        <f t="shared" si="31"/>
        <v>0.71737173898682061</v>
      </c>
      <c r="AI138" s="6">
        <f>V$23/V$57*AI$4</f>
        <v>1.3059653592936078</v>
      </c>
      <c r="AJ138" s="1"/>
    </row>
    <row r="139" spans="2:36" ht="15.6">
      <c r="B139" s="2">
        <f t="shared" si="27"/>
        <v>44106</v>
      </c>
      <c r="C139" s="1">
        <v>294395</v>
      </c>
      <c r="D139" s="1">
        <v>9508</v>
      </c>
      <c r="E139" s="1">
        <f>+E140+1500</f>
        <v>259500</v>
      </c>
      <c r="F139" s="1">
        <f>+A!C139-A!D139-A!E139</f>
        <v>25387</v>
      </c>
      <c r="G139" s="1"/>
      <c r="H139" s="4">
        <f>SUM(A!J139:J145)/7*1000000/A!H$3-SUM(A!F139:F145)/7*(1-A!N$3)</f>
        <v>7242.4307936507976</v>
      </c>
      <c r="I139" s="7">
        <f>SUM(A!F136:F142)/7</f>
        <v>25544.857142857141</v>
      </c>
      <c r="J139" s="1">
        <v>373</v>
      </c>
      <c r="K139" s="1">
        <v>-4</v>
      </c>
      <c r="L139" s="1"/>
      <c r="M139" s="4">
        <f>A!D139-A!D140</f>
        <v>8</v>
      </c>
      <c r="N139" s="11">
        <f>SUM(A!P139:P145)/7*A!N$3</f>
        <v>40.491428571428571</v>
      </c>
      <c r="O139" s="4">
        <f>(SUM(A!M124:M130)/A!O$3*1000-SUM(A!P136:P142))/7+A!N138</f>
        <v>6389.4854860493115</v>
      </c>
      <c r="P139" s="4">
        <f t="shared" si="28"/>
        <v>2673</v>
      </c>
      <c r="Q139" s="1">
        <f>SUM(A!P136:P142)/7</f>
        <v>2183.8571428571427</v>
      </c>
      <c r="S139" s="4"/>
      <c r="T139" s="8"/>
      <c r="U139" s="8"/>
      <c r="V139" s="8"/>
      <c r="W139" s="8"/>
      <c r="Z139" s="10">
        <f t="shared" si="29"/>
        <v>44104</v>
      </c>
      <c r="AA139" s="1">
        <f>AI139*AI$3*2</f>
        <v>2225934</v>
      </c>
      <c r="AB139" s="1">
        <f t="shared" si="32"/>
        <v>25544.857142857141</v>
      </c>
      <c r="AC139" s="1">
        <f t="shared" si="33"/>
        <v>7571.7565684203582</v>
      </c>
      <c r="AD139" s="1">
        <f t="shared" si="34"/>
        <v>69863.359023418161</v>
      </c>
      <c r="AF139" s="10">
        <f t="shared" si="30"/>
        <v>44104</v>
      </c>
      <c r="AG139" s="6">
        <f t="shared" si="35"/>
        <v>0.20769877307898216</v>
      </c>
      <c r="AH139" s="6">
        <f t="shared" si="31"/>
        <v>0.70749802178650467</v>
      </c>
      <c r="AI139" s="6">
        <f>V$23/V$57*AI$4</f>
        <v>1.3059653592936078</v>
      </c>
      <c r="AJ139" s="1"/>
    </row>
    <row r="140" spans="2:36" ht="15.6">
      <c r="B140" s="2">
        <f t="shared" si="27"/>
        <v>44105</v>
      </c>
      <c r="C140" s="1">
        <v>291722</v>
      </c>
      <c r="D140" s="1">
        <v>9500</v>
      </c>
      <c r="E140" s="1">
        <f>+E141+2000</f>
        <v>258000</v>
      </c>
      <c r="F140" s="1">
        <f>+A!C140-A!D140-A!E140</f>
        <v>24222</v>
      </c>
      <c r="G140" s="1"/>
      <c r="H140" s="4">
        <f>SUM(A!J140:J146)/7*1000000/A!H$3-SUM(A!F140:F146)/7*(1-A!N$3)</f>
        <v>6801.2203174603164</v>
      </c>
      <c r="I140" s="7">
        <f>SUM(A!F137:F143)/7</f>
        <v>24971.571428571428</v>
      </c>
      <c r="J140" s="1">
        <v>355</v>
      </c>
      <c r="K140" s="1">
        <v>0</v>
      </c>
      <c r="L140" s="1"/>
      <c r="M140" s="4">
        <f>A!D140-A!D141</f>
        <v>12</v>
      </c>
      <c r="N140" s="11">
        <f>SUM(A!P140:P146)/7*A!N$3</f>
        <v>39.005714285714284</v>
      </c>
      <c r="O140" s="4">
        <f>(SUM(A!M125:M131)/A!O$3*1000-SUM(A!P137:P143))/7+A!N139</f>
        <v>5474.2079652410612</v>
      </c>
      <c r="P140" s="4">
        <f t="shared" si="28"/>
        <v>2503</v>
      </c>
      <c r="Q140" s="1">
        <f>SUM(A!P137:P143)/7</f>
        <v>2156.7142857142858</v>
      </c>
      <c r="S140" s="4"/>
      <c r="T140" s="8"/>
      <c r="U140" s="8"/>
      <c r="V140" s="8"/>
      <c r="W140" s="8"/>
      <c r="Z140" s="10">
        <f t="shared" si="29"/>
        <v>44103</v>
      </c>
      <c r="AA140" s="1">
        <f>AI140*AI$3*2</f>
        <v>2225934</v>
      </c>
      <c r="AB140" s="1">
        <f t="shared" si="32"/>
        <v>24971.571428571428</v>
      </c>
      <c r="AC140" s="1">
        <f t="shared" si="33"/>
        <v>7060.1509922967871</v>
      </c>
      <c r="AD140" s="1">
        <f t="shared" si="34"/>
        <v>56546.18662834743</v>
      </c>
      <c r="AF140" s="10">
        <f t="shared" si="30"/>
        <v>44103</v>
      </c>
      <c r="AG140" s="6">
        <f t="shared" si="35"/>
        <v>0.19919407348806495</v>
      </c>
      <c r="AH140" s="6">
        <f t="shared" si="31"/>
        <v>0.66580057492709055</v>
      </c>
      <c r="AI140" s="6">
        <f>V$23/V$57*AI$4</f>
        <v>1.3059653592936078</v>
      </c>
      <c r="AJ140" s="1"/>
    </row>
    <row r="141" spans="2:36" ht="15.6">
      <c r="B141" s="2">
        <f t="shared" si="27"/>
        <v>44104</v>
      </c>
      <c r="C141" s="1">
        <v>289219</v>
      </c>
      <c r="D141" s="1">
        <v>9488</v>
      </c>
      <c r="E141" s="1">
        <f>+E142+1800</f>
        <v>256000</v>
      </c>
      <c r="F141" s="1">
        <f>+A!C141-A!D141-A!E141</f>
        <v>23731</v>
      </c>
      <c r="G141" s="1"/>
      <c r="H141" s="4">
        <f>SUM(A!J141:J147)/7*1000000/A!H$3-SUM(A!F141:F147)/7*(1-A!N$3)</f>
        <v>6399.213968253971</v>
      </c>
      <c r="I141" s="7">
        <f>SUM(A!F138:F144)/7</f>
        <v>24410.857142857141</v>
      </c>
      <c r="J141" s="1">
        <v>355</v>
      </c>
      <c r="K141" s="1">
        <v>9</v>
      </c>
      <c r="L141" s="1"/>
      <c r="M141" s="4">
        <f>A!D141-A!D142</f>
        <v>17</v>
      </c>
      <c r="N141" s="11">
        <f>SUM(A!P141:P147)/7*A!N$3</f>
        <v>37.977142857142859</v>
      </c>
      <c r="O141" s="4">
        <f>(SUM(A!M126:M132)/A!O$3*1000-SUM(A!P138:P144))/7+A!N140</f>
        <v>4916.3437240224039</v>
      </c>
      <c r="P141" s="4">
        <f t="shared" si="28"/>
        <v>1798</v>
      </c>
      <c r="Q141" s="1">
        <f>SUM(A!P138:P144)/7</f>
        <v>2032.5714285714287</v>
      </c>
      <c r="S141" s="4"/>
      <c r="T141" s="8"/>
      <c r="U141" s="8"/>
      <c r="V141" s="8"/>
      <c r="W141" s="8"/>
      <c r="Z141" s="10">
        <f t="shared" si="29"/>
        <v>44102</v>
      </c>
      <c r="AA141" s="1">
        <f>AI141*AI$3*2</f>
        <v>2225934</v>
      </c>
      <c r="AB141" s="1">
        <f t="shared" si="32"/>
        <v>24410.857142857141</v>
      </c>
      <c r="AC141" s="1">
        <f t="shared" si="33"/>
        <v>6386.2386689761506</v>
      </c>
      <c r="AD141" s="1">
        <f t="shared" si="34"/>
        <v>38434.597242321499</v>
      </c>
      <c r="AF141" s="10">
        <f t="shared" si="30"/>
        <v>44102</v>
      </c>
      <c r="AG141" s="6">
        <f t="shared" si="35"/>
        <v>0.18668715249487269</v>
      </c>
      <c r="AH141" s="6">
        <f t="shared" si="31"/>
        <v>0.58008709837231642</v>
      </c>
      <c r="AI141" s="6">
        <f>V$23/V$57*AI$4</f>
        <v>1.3059653592936078</v>
      </c>
      <c r="AJ141" s="1" t="str">
        <f>AJ134</f>
        <v>x</v>
      </c>
    </row>
    <row r="142" spans="2:36" ht="15.6">
      <c r="B142" s="2">
        <f t="shared" si="27"/>
        <v>44103</v>
      </c>
      <c r="C142" s="1">
        <v>287421</v>
      </c>
      <c r="D142" s="1">
        <v>9471</v>
      </c>
      <c r="E142" s="1">
        <f>+E143+1700</f>
        <v>254200</v>
      </c>
      <c r="F142" s="1">
        <f>+A!C142-A!D142-A!E142</f>
        <v>23750</v>
      </c>
      <c r="G142" s="1"/>
      <c r="H142" s="4">
        <f>SUM(A!J142:J148)/7*1000000/A!H$3-SUM(A!F142:F148)/7*(1-A!N$3)</f>
        <v>5977.7323809523768</v>
      </c>
      <c r="I142" s="7">
        <f>SUM(A!F139:F145)/7</f>
        <v>24031.857142857141</v>
      </c>
      <c r="J142" s="1">
        <v>352</v>
      </c>
      <c r="K142" s="1">
        <v>19</v>
      </c>
      <c r="L142" s="1"/>
      <c r="M142" s="4">
        <f>A!D142-A!D143</f>
        <v>11</v>
      </c>
      <c r="N142" s="11">
        <f>SUM(A!P142:P148)/7*A!N$3</f>
        <v>37.894285714285715</v>
      </c>
      <c r="O142" s="4">
        <f>(SUM(A!M127:M133)/A!O$3*1000-SUM(A!P139:P145))/7+A!N141</f>
        <v>4033.4025734177876</v>
      </c>
      <c r="P142" s="4">
        <f t="shared" si="28"/>
        <v>2089</v>
      </c>
      <c r="Q142" s="1">
        <f>SUM(A!P139:P145)/7</f>
        <v>2024.5714285714287</v>
      </c>
      <c r="S142" s="4"/>
      <c r="T142" s="8"/>
      <c r="U142" s="8"/>
      <c r="V142" s="8"/>
      <c r="W142" s="8"/>
      <c r="Z142" s="10">
        <f t="shared" si="29"/>
        <v>44101</v>
      </c>
      <c r="AA142" s="1">
        <f>AI142*AI$3*2</f>
        <v>2311990</v>
      </c>
      <c r="AB142" s="1">
        <f t="shared" si="32"/>
        <v>24031.857142857141</v>
      </c>
      <c r="AC142" s="1">
        <f t="shared" si="33"/>
        <v>5492.7291452252766</v>
      </c>
      <c r="AD142" s="1">
        <f t="shared" si="34"/>
        <v>38589.755321328987</v>
      </c>
      <c r="AF142" s="10">
        <f t="shared" si="30"/>
        <v>44101</v>
      </c>
      <c r="AG142" s="6">
        <f t="shared" si="35"/>
        <v>0.16793514163902634</v>
      </c>
      <c r="AH142" s="6">
        <f t="shared" si="31"/>
        <v>0.5864306110477121</v>
      </c>
      <c r="AI142" s="6">
        <f>V$24/V$57*AI$4</f>
        <v>1.3564547965183282</v>
      </c>
      <c r="AJ142" s="1"/>
    </row>
    <row r="143" spans="2:36" ht="15.6">
      <c r="B143" s="2">
        <f t="shared" si="27"/>
        <v>44102</v>
      </c>
      <c r="C143" s="1">
        <v>285332</v>
      </c>
      <c r="D143" s="1">
        <v>9460</v>
      </c>
      <c r="E143" s="1">
        <v>252500</v>
      </c>
      <c r="F143" s="1">
        <f>+A!C143-A!D143-A!E143</f>
        <v>23372</v>
      </c>
      <c r="G143" s="1"/>
      <c r="H143" s="4">
        <f>SUM(A!J143:J149)/7*1000000/A!H$3-SUM(A!F143:F149)/7*(1-A!N$3)</f>
        <v>5414.3698412698395</v>
      </c>
      <c r="I143" s="7">
        <f>SUM(A!F140:F146)/7</f>
        <v>23588</v>
      </c>
      <c r="J143" s="1">
        <v>353</v>
      </c>
      <c r="K143" s="1">
        <v>12</v>
      </c>
      <c r="L143" s="1"/>
      <c r="M143" s="4">
        <f>A!D143-A!D144</f>
        <v>3</v>
      </c>
      <c r="N143" s="11">
        <f>SUM(A!P143:P149)/7*A!N$3</f>
        <v>37.128571428571426</v>
      </c>
      <c r="O143" s="4">
        <f>(SUM(A!M128:M134)/A!O$3*1000-SUM(A!P140:P146))/7+A!N142</f>
        <v>2694.2148636339844</v>
      </c>
      <c r="P143" s="4">
        <f t="shared" si="28"/>
        <v>1192</v>
      </c>
      <c r="Q143" s="1">
        <f>SUM(A!P140:P146)/7</f>
        <v>1950.2857142857142</v>
      </c>
      <c r="S143" s="4"/>
      <c r="T143" s="8"/>
      <c r="U143" s="8"/>
      <c r="V143" s="8"/>
      <c r="W143" s="8"/>
      <c r="Z143" s="10">
        <f t="shared" si="29"/>
        <v>44100</v>
      </c>
      <c r="AA143" s="1">
        <f>AI143*AI$3*2</f>
        <v>2311990</v>
      </c>
      <c r="AB143" s="1">
        <f t="shared" si="32"/>
        <v>23588</v>
      </c>
      <c r="AC143" s="1">
        <f t="shared" si="33"/>
        <v>4721.727131724816</v>
      </c>
      <c r="AD143" s="1">
        <f t="shared" si="34"/>
        <v>37244.147597217685</v>
      </c>
      <c r="AF143" s="10">
        <f t="shared" si="30"/>
        <v>44100</v>
      </c>
      <c r="AG143" s="6">
        <f t="shared" si="35"/>
        <v>0.15029819656654178</v>
      </c>
      <c r="AH143" s="6">
        <f t="shared" si="31"/>
        <v>0.58250276238591547</v>
      </c>
      <c r="AI143" s="6">
        <f>V$24/V$57*AI$4</f>
        <v>1.3564547965183282</v>
      </c>
      <c r="AJ143" s="1"/>
    </row>
    <row r="144" spans="2:36" ht="15.6">
      <c r="B144" s="2">
        <f t="shared" si="27"/>
        <v>44101</v>
      </c>
      <c r="C144" s="1">
        <v>284140</v>
      </c>
      <c r="D144" s="1">
        <v>9457</v>
      </c>
      <c r="E144" s="1">
        <v>250800</v>
      </c>
      <c r="F144" s="1">
        <f>+A!C144-A!D144-A!E144</f>
        <v>23883</v>
      </c>
      <c r="G144" s="1"/>
      <c r="H144" s="4">
        <f>SUM(A!J144:J150)/7*1000000/A!H$3-SUM(A!F144:F150)/7*(1-A!N$3)</f>
        <v>4689.2463492063544</v>
      </c>
      <c r="I144" s="7">
        <f>SUM(A!F141:F147)/7</f>
        <v>23233.714285714286</v>
      </c>
      <c r="J144" s="1">
        <v>325</v>
      </c>
      <c r="K144" s="1">
        <v>16</v>
      </c>
      <c r="L144" s="1"/>
      <c r="M144" s="4">
        <f>A!D144-A!D145</f>
        <v>5</v>
      </c>
      <c r="N144" s="11">
        <f>SUM(A!P144:P150)/7*A!N$3</f>
        <v>36.357142857142861</v>
      </c>
      <c r="O144" s="4">
        <f>(SUM(A!M129:M135)/A!O$3*1000-SUM(A!P141:P147))/7+A!N143</f>
        <v>2692.5299220017796</v>
      </c>
      <c r="P144" s="4">
        <f t="shared" si="28"/>
        <v>1410</v>
      </c>
      <c r="Q144" s="1">
        <f>SUM(A!P141:P147)/7</f>
        <v>1898.8571428571429</v>
      </c>
      <c r="S144" s="4"/>
      <c r="T144" s="8"/>
      <c r="U144" s="8"/>
      <c r="V144" s="8"/>
      <c r="Z144" s="10">
        <f t="shared" si="29"/>
        <v>44099</v>
      </c>
      <c r="AA144" s="1">
        <f>AI144*AI$3*2</f>
        <v>2311990</v>
      </c>
      <c r="AB144" s="1">
        <f t="shared" si="32"/>
        <v>23233.714285714286</v>
      </c>
      <c r="AC144" s="1">
        <f t="shared" si="33"/>
        <v>4233.0125591849564</v>
      </c>
      <c r="AD144" s="1">
        <f t="shared" si="34"/>
        <v>31257.599847025995</v>
      </c>
      <c r="AF144" s="10">
        <f t="shared" si="30"/>
        <v>44099</v>
      </c>
      <c r="AG144" s="6">
        <f t="shared" si="35"/>
        <v>0.1388620367239341</v>
      </c>
      <c r="AH144" s="6">
        <f t="shared" si="31"/>
        <v>0.54353319108739606</v>
      </c>
      <c r="AI144" s="6">
        <f>V$24/V$57*AI$4</f>
        <v>1.3564547965183282</v>
      </c>
      <c r="AJ144" s="1"/>
    </row>
    <row r="145" spans="2:36" ht="15.6">
      <c r="B145" s="2">
        <f t="shared" si="27"/>
        <v>44100</v>
      </c>
      <c r="C145" s="1">
        <v>282730</v>
      </c>
      <c r="D145" s="1">
        <v>9452</v>
      </c>
      <c r="E145" s="1">
        <v>249400</v>
      </c>
      <c r="F145" s="1">
        <f>+A!C145-A!D145-A!E145</f>
        <v>23878</v>
      </c>
      <c r="G145" s="1"/>
      <c r="H145" s="4">
        <f>SUM(A!J145:J151)/7*1000000/A!H$3-SUM(A!F145:F151)/7*(1-A!N$3)</f>
        <v>4043.6317460317478</v>
      </c>
      <c r="I145" s="7">
        <f>SUM(A!F142:F148)/7</f>
        <v>22860.428571428572</v>
      </c>
      <c r="J145" s="1">
        <v>312</v>
      </c>
      <c r="K145" s="1">
        <v>1</v>
      </c>
      <c r="L145" s="1"/>
      <c r="M145" s="4">
        <f>A!D145-A!D146</f>
        <v>9</v>
      </c>
      <c r="N145" s="11">
        <f>SUM(A!P145:P151)/7*A!N$3</f>
        <v>36.171428571428571</v>
      </c>
      <c r="O145" s="4">
        <f>(SUM(A!M130:M136)/A!O$3*1000-SUM(A!P142:P148))/7+A!N144</f>
        <v>2643.5535517981466</v>
      </c>
      <c r="P145" s="4">
        <f t="shared" si="28"/>
        <v>2507</v>
      </c>
      <c r="Q145" s="1">
        <f>SUM(A!P142:P148)/7</f>
        <v>1894.7142857142858</v>
      </c>
      <c r="S145" s="4"/>
      <c r="T145" s="8"/>
      <c r="U145" s="8"/>
      <c r="V145" s="8"/>
      <c r="Z145" s="10">
        <f t="shared" si="29"/>
        <v>44098</v>
      </c>
      <c r="AA145" s="1">
        <f>AI145*AI$3*2</f>
        <v>2311990</v>
      </c>
      <c r="AB145" s="1">
        <f t="shared" si="32"/>
        <v>22860.428571428572</v>
      </c>
      <c r="AC145" s="1">
        <f t="shared" si="33"/>
        <v>3803.7384151217298</v>
      </c>
      <c r="AD145" s="1">
        <f t="shared" si="34"/>
        <v>34977.311109179922</v>
      </c>
      <c r="AF145" s="10">
        <f t="shared" si="30"/>
        <v>44098</v>
      </c>
      <c r="AG145" s="6">
        <f t="shared" si="35"/>
        <v>0.12818843130154825</v>
      </c>
      <c r="AH145" s="6">
        <f t="shared" si="31"/>
        <v>0.57484416442647845</v>
      </c>
      <c r="AI145" s="6">
        <f>V$24/V$57*AI$4</f>
        <v>1.3564547965183282</v>
      </c>
      <c r="AJ145" s="1"/>
    </row>
    <row r="146" spans="2:36" ht="15.6">
      <c r="B146" s="2">
        <f t="shared" si="27"/>
        <v>44099</v>
      </c>
      <c r="C146" s="1">
        <v>280223</v>
      </c>
      <c r="D146" s="1">
        <v>9443</v>
      </c>
      <c r="E146" s="1">
        <f>+E147+1600</f>
        <v>248500</v>
      </c>
      <c r="F146" s="1">
        <f>+A!C146-A!D146-A!E146</f>
        <v>22280</v>
      </c>
      <c r="G146" s="1"/>
      <c r="H146" s="4">
        <f>SUM(A!J146:J152)/7*1000000/A!H$3-SUM(A!F146:F152)/7*(1-A!N$3)</f>
        <v>3624.4165079365084</v>
      </c>
      <c r="I146" s="7">
        <f>SUM(A!F143:F149)/7</f>
        <v>22476.428571428572</v>
      </c>
      <c r="J146" s="1">
        <v>304</v>
      </c>
      <c r="K146" s="1">
        <v>9</v>
      </c>
      <c r="L146" s="1"/>
      <c r="M146" s="4">
        <f>A!D146-A!D147</f>
        <v>15</v>
      </c>
      <c r="N146" s="11">
        <f>SUM(A!P146:P152)/7*A!N$3</f>
        <v>35.571428571428577</v>
      </c>
      <c r="O146" s="4">
        <f>(SUM(A!M131:M137)/A!O$3*1000-SUM(A!P143:P149))/7+A!N145</f>
        <v>2210.5233628225928</v>
      </c>
      <c r="P146" s="4">
        <f t="shared" si="28"/>
        <v>2153</v>
      </c>
      <c r="Q146" s="1">
        <f>SUM(A!P143:P149)/7</f>
        <v>1856.4285714285713</v>
      </c>
      <c r="S146" s="4"/>
      <c r="T146" s="8"/>
      <c r="U146" s="8"/>
      <c r="V146" s="8"/>
      <c r="Z146" s="10">
        <f t="shared" si="29"/>
        <v>44097</v>
      </c>
      <c r="AA146" s="1">
        <f>AI146*AI$3*2</f>
        <v>2311990</v>
      </c>
      <c r="AB146" s="1">
        <f t="shared" si="32"/>
        <v>22476.428571428572</v>
      </c>
      <c r="AC146" s="1">
        <f t="shared" si="33"/>
        <v>3360.3440530394096</v>
      </c>
      <c r="AD146" s="1">
        <f t="shared" si="34"/>
        <v>32486.644515345961</v>
      </c>
      <c r="AF146" s="10">
        <f t="shared" si="30"/>
        <v>44097</v>
      </c>
      <c r="AG146" s="6">
        <f t="shared" si="35"/>
        <v>0.11667374670186235</v>
      </c>
      <c r="AH146" s="6">
        <f t="shared" si="31"/>
        <v>0.56081556403089816</v>
      </c>
      <c r="AI146" s="6">
        <f>V$24/V$57*AI$4</f>
        <v>1.3564547965183282</v>
      </c>
      <c r="AJ146" s="1"/>
    </row>
    <row r="147" spans="2:36" ht="15.6">
      <c r="B147" s="2">
        <f t="shared" si="27"/>
        <v>44098</v>
      </c>
      <c r="C147" s="1">
        <v>278070</v>
      </c>
      <c r="D147" s="1">
        <v>9428</v>
      </c>
      <c r="E147" s="1">
        <f>+E148+1500</f>
        <v>246900</v>
      </c>
      <c r="F147" s="1">
        <f>+A!C147-A!D147-A!E147</f>
        <v>21742</v>
      </c>
      <c r="G147" s="1"/>
      <c r="H147" s="4">
        <f>SUM(A!J147:J153)/7*1000000/A!H$3-SUM(A!F147:F153)/7*(1-A!N$3)</f>
        <v>3249.8085714285735</v>
      </c>
      <c r="I147" s="7">
        <f>SUM(A!F144:F150)/7</f>
        <v>22102</v>
      </c>
      <c r="J147" s="1">
        <v>296</v>
      </c>
      <c r="K147" s="1">
        <v>7</v>
      </c>
      <c r="L147" s="1"/>
      <c r="M147" s="4">
        <f>A!D147-A!D148</f>
        <v>19</v>
      </c>
      <c r="N147" s="11">
        <f>SUM(A!P147:P153)/7*A!N$3</f>
        <v>34.894285714285715</v>
      </c>
      <c r="O147" s="4">
        <f>(SUM(A!M132:M138)/A!O$3*1000-SUM(A!P144:P150))/7+A!N146</f>
        <v>2457.8859864942679</v>
      </c>
      <c r="P147" s="4">
        <f t="shared" si="28"/>
        <v>2143</v>
      </c>
      <c r="Q147" s="1">
        <f>SUM(A!P144:P150)/7</f>
        <v>1817.8571428571429</v>
      </c>
      <c r="S147" s="4"/>
      <c r="T147" s="8"/>
      <c r="U147" s="8"/>
      <c r="V147" s="8"/>
      <c r="Z147" s="10">
        <f t="shared" si="29"/>
        <v>44096</v>
      </c>
      <c r="AA147" s="1">
        <f>AI147*AI$3*2</f>
        <v>2311990</v>
      </c>
      <c r="AB147" s="1">
        <f t="shared" si="32"/>
        <v>22102</v>
      </c>
      <c r="AC147" s="1">
        <f t="shared" si="33"/>
        <v>2955.6736381350806</v>
      </c>
      <c r="AD147" s="1">
        <f t="shared" si="34"/>
        <v>30121.108326273366</v>
      </c>
      <c r="AF147" s="10">
        <f t="shared" si="30"/>
        <v>44096</v>
      </c>
      <c r="AG147" s="6">
        <f t="shared" si="35"/>
        <v>0.10516662375059722</v>
      </c>
      <c r="AH147" s="6">
        <f t="shared" si="31"/>
        <v>0.54498008486722838</v>
      </c>
      <c r="AI147" s="6">
        <f>V$24/V$57*AI$4</f>
        <v>1.3564547965183282</v>
      </c>
      <c r="AJ147" s="1"/>
    </row>
    <row r="148" spans="2:36" ht="15.6">
      <c r="B148" s="2">
        <f t="shared" si="27"/>
        <v>44097</v>
      </c>
      <c r="C148" s="1">
        <v>275927</v>
      </c>
      <c r="D148" s="1">
        <v>9409</v>
      </c>
      <c r="E148" s="1">
        <f>+E149+1700</f>
        <v>245400</v>
      </c>
      <c r="F148" s="1">
        <f>+A!C148-A!D148-A!E148</f>
        <v>21118</v>
      </c>
      <c r="G148" s="1"/>
      <c r="H148" s="4">
        <f>SUM(A!J148:J154)/7*1000000/A!H$3-SUM(A!F148:F154)/7*(1-A!N$3)</f>
        <v>2871.1406349206372</v>
      </c>
      <c r="I148" s="7">
        <f>SUM(A!F145:F151)/7</f>
        <v>21737.142857142859</v>
      </c>
      <c r="J148" s="1">
        <v>293</v>
      </c>
      <c r="K148" s="1">
        <v>5</v>
      </c>
      <c r="L148" s="1"/>
      <c r="M148" s="4">
        <f>A!D148-A!D149</f>
        <v>13</v>
      </c>
      <c r="N148" s="11">
        <f>SUM(A!P148:P154)/7*A!N$3</f>
        <v>35.04</v>
      </c>
      <c r="O148" s="4">
        <f>(SUM(A!M133:M139)/A!O$3*1000-SUM(A!P145:P151))/7+A!N147</f>
        <v>2309.4511615976544</v>
      </c>
      <c r="P148" s="4">
        <f t="shared" si="28"/>
        <v>1769</v>
      </c>
      <c r="Q148" s="1">
        <f>SUM(A!P145:P151)/7</f>
        <v>1808.5714285714287</v>
      </c>
      <c r="S148" s="4"/>
      <c r="T148" s="8"/>
      <c r="U148" s="8"/>
      <c r="V148" s="8"/>
      <c r="Z148" s="10">
        <f t="shared" si="29"/>
        <v>44095</v>
      </c>
      <c r="AA148" s="1">
        <f>AI148*AI$3*2</f>
        <v>2311990</v>
      </c>
      <c r="AB148" s="1">
        <f t="shared" si="32"/>
        <v>21737.142857142859</v>
      </c>
      <c r="AC148" s="1">
        <f t="shared" si="33"/>
        <v>2866.0998770792294</v>
      </c>
      <c r="AD148" s="1">
        <f t="shared" si="34"/>
        <v>31409.666390677146</v>
      </c>
      <c r="AF148" s="10">
        <f t="shared" si="30"/>
        <v>44095</v>
      </c>
      <c r="AG148" s="6">
        <f t="shared" si="35"/>
        <v>0.10389329548046833</v>
      </c>
      <c r="AH148" s="6">
        <f t="shared" si="31"/>
        <v>0.55958263727777169</v>
      </c>
      <c r="AI148" s="6">
        <f>V$24/V$57*AI$4</f>
        <v>1.3564547965183282</v>
      </c>
      <c r="AJ148" s="1" t="str">
        <f>AJ141</f>
        <v>x</v>
      </c>
    </row>
    <row r="149" spans="2:36" ht="15.6">
      <c r="B149" s="2">
        <f t="shared" si="27"/>
        <v>44096</v>
      </c>
      <c r="C149" s="1">
        <v>274158</v>
      </c>
      <c r="D149" s="1">
        <v>9396</v>
      </c>
      <c r="E149" s="1">
        <f>+E150+1500</f>
        <v>243700</v>
      </c>
      <c r="F149" s="1">
        <f>+A!C149-A!D149-A!E149</f>
        <v>21062</v>
      </c>
      <c r="G149" s="1"/>
      <c r="H149" s="4">
        <f>SUM(A!J149:J155)/7*1000000/A!H$3-SUM(A!F149:F155)/7*(1-A!N$3)</f>
        <v>2504.4558730158751</v>
      </c>
      <c r="I149" s="7">
        <f>SUM(A!F146:F152)/7</f>
        <v>21309.714285714286</v>
      </c>
      <c r="J149" s="1">
        <v>278</v>
      </c>
      <c r="K149" s="1">
        <v>-30</v>
      </c>
      <c r="L149" s="1"/>
      <c r="M149" s="4">
        <f>A!D149-A!D150</f>
        <v>10</v>
      </c>
      <c r="N149" s="11">
        <f>SUM(A!P149:P155)/7*A!N$3</f>
        <v>35.417142857142856</v>
      </c>
      <c r="O149" s="4">
        <f>(SUM(A!M134:M140)/A!O$3*1000-SUM(A!P146:P152))/7+A!N148</f>
        <v>2130.2056807831232</v>
      </c>
      <c r="P149" s="4">
        <f t="shared" si="28"/>
        <v>1821</v>
      </c>
      <c r="Q149" s="1">
        <f>SUM(A!P146:P152)/7</f>
        <v>1778.5714285714287</v>
      </c>
      <c r="S149" s="4"/>
      <c r="T149" s="8"/>
      <c r="U149" s="8"/>
      <c r="V149" s="8"/>
      <c r="Z149" s="10">
        <f t="shared" si="29"/>
        <v>44094</v>
      </c>
      <c r="AA149" s="1">
        <f>AI149*AI$3*2</f>
        <v>2293130</v>
      </c>
      <c r="AB149" s="1">
        <f t="shared" si="32"/>
        <v>21309.714285714286</v>
      </c>
      <c r="AC149" s="1">
        <f t="shared" si="33"/>
        <v>2899.7840410037775</v>
      </c>
      <c r="AD149" s="1">
        <f t="shared" si="34"/>
        <v>29685.567325954751</v>
      </c>
      <c r="AF149" s="10">
        <f t="shared" si="30"/>
        <v>44094</v>
      </c>
      <c r="AG149" s="6">
        <f t="shared" si="35"/>
        <v>0.10730772141222683</v>
      </c>
      <c r="AH149" s="6">
        <f t="shared" si="31"/>
        <v>0.55168556192332641</v>
      </c>
      <c r="AI149" s="6">
        <f>V$25/V$57*AI$4</f>
        <v>1.3453895507939369</v>
      </c>
      <c r="AJ149" s="1"/>
    </row>
    <row r="150" spans="2:36" ht="15.6">
      <c r="B150" s="2">
        <f t="shared" si="27"/>
        <v>44095</v>
      </c>
      <c r="C150" s="1">
        <v>272337</v>
      </c>
      <c r="D150" s="1">
        <v>9386</v>
      </c>
      <c r="E150" s="1">
        <f>+E151+1500</f>
        <v>242200</v>
      </c>
      <c r="F150" s="1">
        <f>+A!C150-A!D150-A!E150</f>
        <v>20751</v>
      </c>
      <c r="G150" s="1"/>
      <c r="H150" s="4">
        <f>SUM(A!J150:J156)/7*1000000/A!H$3-SUM(A!F150:F156)/7*(1-A!N$3)</f>
        <v>2427.8025396825396</v>
      </c>
      <c r="I150" s="7">
        <f>SUM(A!F147:F153)/7</f>
        <v>20940.428571428572</v>
      </c>
      <c r="J150" s="1">
        <v>267</v>
      </c>
      <c r="K150" s="1">
        <v>9</v>
      </c>
      <c r="L150" s="1"/>
      <c r="M150" s="4">
        <f>A!D150-A!D151</f>
        <v>0</v>
      </c>
      <c r="N150" s="11">
        <f>SUM(A!P150:P156)/7*A!N$3</f>
        <v>34.234285714285718</v>
      </c>
      <c r="O150" s="4">
        <f>(SUM(A!M135:M141)/A!O$3*1000-SUM(A!P147:P153))/7+A!N149</f>
        <v>2216.7877652724706</v>
      </c>
      <c r="P150" s="4">
        <f t="shared" si="28"/>
        <v>922</v>
      </c>
      <c r="Q150" s="1">
        <f>SUM(A!P147:P153)/7</f>
        <v>1744.7142857142858</v>
      </c>
      <c r="S150" s="4"/>
      <c r="T150" s="8"/>
      <c r="U150" s="8"/>
      <c r="V150" s="8"/>
      <c r="Z150" s="10">
        <f t="shared" si="29"/>
        <v>44093</v>
      </c>
      <c r="AA150" s="1">
        <f>AI150*AI$3*2</f>
        <v>2293130</v>
      </c>
      <c r="AB150" s="1">
        <f t="shared" si="32"/>
        <v>20940.428571428572</v>
      </c>
      <c r="AC150" s="1">
        <f t="shared" si="33"/>
        <v>3066.5591256824009</v>
      </c>
      <c r="AD150" s="1">
        <f t="shared" si="34"/>
        <v>27179.281711291183</v>
      </c>
      <c r="AF150" s="10">
        <f t="shared" si="30"/>
        <v>44093</v>
      </c>
      <c r="AG150" s="6">
        <f t="shared" si="35"/>
        <v>0.1146469610553512</v>
      </c>
      <c r="AH150" s="6">
        <f t="shared" si="31"/>
        <v>0.53438809449112035</v>
      </c>
      <c r="AI150" s="6">
        <f>V$25/V$57*AI$4</f>
        <v>1.3453895507939369</v>
      </c>
      <c r="AJ150" s="1"/>
    </row>
    <row r="151" spans="2:36" ht="15.6">
      <c r="B151" s="2">
        <f t="shared" si="27"/>
        <v>44094</v>
      </c>
      <c r="C151" s="1">
        <v>271415</v>
      </c>
      <c r="D151" s="1">
        <v>9386</v>
      </c>
      <c r="E151" s="1">
        <v>240700</v>
      </c>
      <c r="F151" s="1">
        <f>+A!C151-A!D151-A!E151</f>
        <v>21329</v>
      </c>
      <c r="G151" s="1"/>
      <c r="H151" s="4">
        <f>SUM(A!J151:J157)/7*1000000/A!H$3-SUM(A!F151:F157)/7*(1-A!N$3)</f>
        <v>2473.2901587301603</v>
      </c>
      <c r="I151" s="7">
        <f>SUM(A!F148:F154)/7</f>
        <v>20575.285714285714</v>
      </c>
      <c r="J151" s="1">
        <v>246</v>
      </c>
      <c r="K151" s="1">
        <v>33</v>
      </c>
      <c r="L151" s="1"/>
      <c r="M151" s="4">
        <f>A!D151-A!D152</f>
        <v>2</v>
      </c>
      <c r="N151" s="11">
        <f>SUM(A!P151:P157)/7*A!N$3</f>
        <v>34.248571428571431</v>
      </c>
      <c r="O151" s="4">
        <f>(SUM(A!M136:M142)/A!O$3*1000-SUM(A!P148:P154))/7+A!N150</f>
        <v>2155.9713950688374</v>
      </c>
      <c r="P151" s="4">
        <f t="shared" si="28"/>
        <v>1345</v>
      </c>
      <c r="Q151" s="1">
        <f>SUM(A!P148:P154)/7</f>
        <v>1752</v>
      </c>
      <c r="S151" s="4"/>
      <c r="T151" s="8"/>
      <c r="U151" s="8"/>
      <c r="V151" s="8"/>
      <c r="Z151" s="10">
        <f t="shared" si="29"/>
        <v>44092</v>
      </c>
      <c r="AA151" s="1">
        <f>AI151*AI$3*2</f>
        <v>2293130</v>
      </c>
      <c r="AB151" s="1">
        <f t="shared" si="32"/>
        <v>20575.285714285714</v>
      </c>
      <c r="AC151" s="1">
        <f t="shared" si="33"/>
        <v>3204.7277086873228</v>
      </c>
      <c r="AD151" s="1">
        <f t="shared" si="34"/>
        <v>30447.024307913129</v>
      </c>
      <c r="AF151" s="10">
        <f t="shared" si="30"/>
        <v>44092</v>
      </c>
      <c r="AG151" s="6">
        <f t="shared" si="35"/>
        <v>0.12142070608115188</v>
      </c>
      <c r="AH151" s="6">
        <f t="shared" si="31"/>
        <v>0.56766148862229382</v>
      </c>
      <c r="AI151" s="6">
        <f>V$25/V$57*AI$4</f>
        <v>1.3453895507939369</v>
      </c>
      <c r="AJ151" s="1"/>
    </row>
    <row r="152" spans="2:36" ht="15.6">
      <c r="B152" s="2">
        <f t="shared" si="27"/>
        <v>44093</v>
      </c>
      <c r="C152" s="1">
        <v>270070</v>
      </c>
      <c r="D152" s="1">
        <v>9384</v>
      </c>
      <c r="E152" s="1">
        <v>239800</v>
      </c>
      <c r="F152" s="1">
        <f>+A!C152-A!D152-A!E152</f>
        <v>20886</v>
      </c>
      <c r="G152" s="1"/>
      <c r="H152" s="4">
        <f>SUM(A!J152:J158)/7*1000000/A!H$3-SUM(A!F152:F158)/7*(1-A!N$3)</f>
        <v>2612.1314285714325</v>
      </c>
      <c r="I152" s="7">
        <f>SUM(A!F149:F155)/7</f>
        <v>20172</v>
      </c>
      <c r="J152" s="1">
        <v>246</v>
      </c>
      <c r="K152" s="1">
        <v>0</v>
      </c>
      <c r="L152" s="1"/>
      <c r="M152" s="4">
        <f>A!D152-A!D153</f>
        <v>6</v>
      </c>
      <c r="N152" s="11">
        <f>SUM(A!P152:P158)/7*A!N$3</f>
        <v>33.114285714285714</v>
      </c>
      <c r="O152" s="4">
        <f>(SUM(A!M137:M143)/A!O$3*1000-SUM(A!P149:P155))/7+A!N151</f>
        <v>2032.432940375857</v>
      </c>
      <c r="P152" s="4">
        <f t="shared" si="28"/>
        <v>2297</v>
      </c>
      <c r="Q152" s="1">
        <f>SUM(A!P149:P155)/7</f>
        <v>1770.8571428571429</v>
      </c>
      <c r="S152" s="4"/>
      <c r="T152" s="8"/>
      <c r="U152" s="8"/>
      <c r="V152" s="8"/>
      <c r="Z152" s="10">
        <f t="shared" si="29"/>
        <v>44091</v>
      </c>
      <c r="AA152" s="1">
        <f>AI152*AI$3*2</f>
        <v>2293130</v>
      </c>
      <c r="AB152" s="1">
        <f t="shared" si="32"/>
        <v>20172</v>
      </c>
      <c r="AC152" s="1">
        <f t="shared" si="33"/>
        <v>3280.8530616790267</v>
      </c>
      <c r="AD152" s="1">
        <f t="shared" si="34"/>
        <v>22833.686984895485</v>
      </c>
      <c r="AF152" s="10">
        <f t="shared" si="30"/>
        <v>44091</v>
      </c>
      <c r="AG152" s="6">
        <f t="shared" si="35"/>
        <v>0.12620747945968902</v>
      </c>
      <c r="AH152" s="6">
        <f t="shared" si="31"/>
        <v>0.50130443073773179</v>
      </c>
      <c r="AI152" s="6">
        <f>V$25/V$57*AI$4</f>
        <v>1.3453895507939369</v>
      </c>
      <c r="AJ152" s="1"/>
    </row>
    <row r="153" spans="2:36" ht="15.6">
      <c r="B153" s="2">
        <f t="shared" si="27"/>
        <v>44092</v>
      </c>
      <c r="C153" s="1">
        <v>267773</v>
      </c>
      <c r="D153" s="1">
        <v>9378</v>
      </c>
      <c r="E153" s="1">
        <v>238700</v>
      </c>
      <c r="F153" s="1">
        <f>+A!C153-A!D153-A!E153</f>
        <v>19695</v>
      </c>
      <c r="G153" s="1"/>
      <c r="H153" s="4">
        <f>SUM(A!J153:J159)/7*1000000/A!H$3-SUM(A!F153:F159)/7*(1-A!N$3)</f>
        <v>2723.3926984127029</v>
      </c>
      <c r="I153" s="7">
        <f>SUM(A!F150:F156)/7</f>
        <v>19706</v>
      </c>
      <c r="J153" s="1">
        <v>246</v>
      </c>
      <c r="K153" s="1">
        <v>4</v>
      </c>
      <c r="L153" s="1"/>
      <c r="M153" s="4">
        <f>A!D153-A!D154</f>
        <v>7</v>
      </c>
      <c r="N153" s="11">
        <f>SUM(A!P153:P159)/7*A!N$3</f>
        <v>31.208571428571428</v>
      </c>
      <c r="O153" s="4">
        <f>(SUM(A!M138:M144)/A!O$3*1000-SUM(A!P150:P156))/7+A!N152</f>
        <v>2247.4849081296134</v>
      </c>
      <c r="P153" s="4">
        <f t="shared" si="28"/>
        <v>1916</v>
      </c>
      <c r="Q153" s="1">
        <f>SUM(A!P150:P156)/7</f>
        <v>1711.7142857142858</v>
      </c>
      <c r="S153" s="4"/>
      <c r="T153" s="8"/>
      <c r="U153" s="8"/>
      <c r="V153" s="8"/>
      <c r="Z153" s="10">
        <f t="shared" si="29"/>
        <v>44090</v>
      </c>
      <c r="AA153" s="1">
        <f>AI153*AI$3*2</f>
        <v>2293130</v>
      </c>
      <c r="AB153" s="1">
        <f t="shared" si="32"/>
        <v>19706</v>
      </c>
      <c r="AC153" s="1">
        <f t="shared" si="33"/>
        <v>3642.4776130819318</v>
      </c>
      <c r="AD153" s="1">
        <f t="shared" si="34"/>
        <v>28783.300294031393</v>
      </c>
      <c r="AF153" s="10">
        <f t="shared" si="30"/>
        <v>44090</v>
      </c>
      <c r="AG153" s="6">
        <f t="shared" si="35"/>
        <v>0.14075704947922382</v>
      </c>
      <c r="AH153" s="6">
        <f t="shared" si="31"/>
        <v>0.56417283476533642</v>
      </c>
      <c r="AI153" s="6">
        <f>V$25/V$57*AI$4</f>
        <v>1.3453895507939369</v>
      </c>
      <c r="AJ153" s="1"/>
    </row>
    <row r="154" spans="2:36" ht="15.6">
      <c r="B154" s="2">
        <f t="shared" si="27"/>
        <v>44091</v>
      </c>
      <c r="C154" s="1">
        <v>265857</v>
      </c>
      <c r="D154" s="1">
        <v>9371</v>
      </c>
      <c r="E154" s="1">
        <v>237300</v>
      </c>
      <c r="F154" s="1">
        <f>+A!C154-A!D154-A!E154</f>
        <v>19186</v>
      </c>
      <c r="G154" s="1"/>
      <c r="H154" s="4">
        <f>SUM(A!J154:J160)/7*1000000/A!H$3-SUM(A!F154:F160)/7*(1-A!N$3)</f>
        <v>2783.4139682539681</v>
      </c>
      <c r="I154" s="7">
        <f>SUM(A!F151:F157)/7</f>
        <v>19270.857142857141</v>
      </c>
      <c r="J154" s="1">
        <v>238</v>
      </c>
      <c r="K154" s="1">
        <v>11</v>
      </c>
      <c r="L154" s="1"/>
      <c r="M154" s="4">
        <f>A!D154-A!D155</f>
        <v>3</v>
      </c>
      <c r="N154" s="11">
        <f>SUM(A!P154:P160)/7*A!N$3</f>
        <v>29.974285714285717</v>
      </c>
      <c r="O154" s="4">
        <f>(SUM(A!M139:M145)/A!O$3*1000-SUM(A!P151:P157))/7+A!N153</f>
        <v>1721.3869203789984</v>
      </c>
      <c r="P154" s="4">
        <f t="shared" si="28"/>
        <v>2194</v>
      </c>
      <c r="Q154" s="1">
        <f>SUM(A!P151:P157)/7</f>
        <v>1712.4285714285713</v>
      </c>
      <c r="S154" s="4"/>
      <c r="T154" s="8"/>
      <c r="U154" s="8"/>
      <c r="V154" s="8"/>
      <c r="Z154" s="10">
        <f t="shared" si="29"/>
        <v>44089</v>
      </c>
      <c r="AA154" s="1">
        <f>AI154*AI$3*2</f>
        <v>2293130</v>
      </c>
      <c r="AB154" s="1">
        <f t="shared" si="32"/>
        <v>19270.857142857141</v>
      </c>
      <c r="AC154" s="1">
        <f t="shared" si="33"/>
        <v>3934.6400671598717</v>
      </c>
      <c r="AD154" s="1">
        <f t="shared" si="34"/>
        <v>36447.020147118827</v>
      </c>
      <c r="AF154" s="10">
        <f t="shared" si="30"/>
        <v>44089</v>
      </c>
      <c r="AG154" s="6">
        <f t="shared" si="35"/>
        <v>0.15265971123391622</v>
      </c>
      <c r="AH154" s="6">
        <f t="shared" si="31"/>
        <v>0.62531017549446311</v>
      </c>
      <c r="AI154" s="6">
        <f>V$25/V$57*AI$4</f>
        <v>1.3453895507939369</v>
      </c>
      <c r="AJ154" s="1"/>
    </row>
    <row r="155" spans="2:36" ht="15.6">
      <c r="B155" s="2">
        <f t="shared" si="27"/>
        <v>44090</v>
      </c>
      <c r="C155" s="1">
        <v>263663</v>
      </c>
      <c r="D155" s="1">
        <v>9368</v>
      </c>
      <c r="E155" s="1">
        <v>236000</v>
      </c>
      <c r="F155" s="1">
        <f>+A!C155-A!D155-A!E155</f>
        <v>18295</v>
      </c>
      <c r="G155" s="1"/>
      <c r="H155" s="4">
        <f>SUM(A!J155:J161)/7*1000000/A!H$3-SUM(A!F155:F161)/7*(1-A!N$3)</f>
        <v>3078.4619047619017</v>
      </c>
      <c r="I155" s="7">
        <f>SUM(A!F152:F158)/7</f>
        <v>18792.285714285714</v>
      </c>
      <c r="J155" s="1">
        <v>233</v>
      </c>
      <c r="K155" s="1">
        <v>21</v>
      </c>
      <c r="L155" s="1"/>
      <c r="M155" s="4">
        <f>A!D155-A!D156</f>
        <v>6</v>
      </c>
      <c r="N155" s="11">
        <f>SUM(A!P155:P161)/7*A!N$3</f>
        <v>29.111428571428576</v>
      </c>
      <c r="O155" s="4">
        <f>(SUM(A!M140:M146)/A!O$3*1000-SUM(A!P152:P158))/7+A!N154</f>
        <v>2143.3015118044282</v>
      </c>
      <c r="P155" s="4">
        <f t="shared" si="28"/>
        <v>1901</v>
      </c>
      <c r="Q155" s="1">
        <f>SUM(A!P152:P158)/7</f>
        <v>1655.7142857142858</v>
      </c>
      <c r="S155" s="4"/>
      <c r="T155" s="8"/>
      <c r="U155" s="8"/>
      <c r="V155" s="8"/>
      <c r="Z155" s="10">
        <f t="shared" si="29"/>
        <v>44088</v>
      </c>
      <c r="AA155" s="1">
        <f>AI155*AI$3*2</f>
        <v>2293130</v>
      </c>
      <c r="AB155" s="1">
        <f t="shared" si="32"/>
        <v>18792.285714285714</v>
      </c>
      <c r="AC155" s="1">
        <f t="shared" si="33"/>
        <v>4058.2468822387168</v>
      </c>
      <c r="AD155" s="1">
        <f t="shared" si="34"/>
        <v>34924.407902348452</v>
      </c>
      <c r="AF155" s="10">
        <f t="shared" si="30"/>
        <v>44088</v>
      </c>
      <c r="AG155" s="6">
        <f t="shared" si="35"/>
        <v>0.15987535179096524</v>
      </c>
      <c r="AH155" s="6">
        <f t="shared" si="31"/>
        <v>0.62087859085044961</v>
      </c>
      <c r="AI155" s="6">
        <f>V$25/V$57*AI$4</f>
        <v>1.3453895507939369</v>
      </c>
      <c r="AJ155" s="1" t="str">
        <f>AJ148</f>
        <v>x</v>
      </c>
    </row>
    <row r="156" spans="2:36" ht="15.6">
      <c r="B156" s="2">
        <f t="shared" si="27"/>
        <v>44089</v>
      </c>
      <c r="C156" s="1">
        <v>261762</v>
      </c>
      <c r="D156" s="1">
        <v>9362</v>
      </c>
      <c r="E156" s="1">
        <v>234600</v>
      </c>
      <c r="F156" s="1">
        <f>+A!C156-A!D156-A!E156</f>
        <v>17800</v>
      </c>
      <c r="G156" s="1"/>
      <c r="H156" s="4">
        <f>SUM(A!J156:J162)/7*1000000/A!H$3-SUM(A!F156:F162)/7*(1-A!N$3)</f>
        <v>3304.5314285714303</v>
      </c>
      <c r="I156" s="7">
        <f>SUM(A!F153:F159)/7</f>
        <v>18341.857142857141</v>
      </c>
      <c r="J156" s="1">
        <v>236</v>
      </c>
      <c r="K156" s="1">
        <v>0</v>
      </c>
      <c r="L156" s="1"/>
      <c r="M156" s="4">
        <f>A!D156-A!D157</f>
        <v>12</v>
      </c>
      <c r="N156" s="11">
        <f>SUM(A!P156:P162)/7*A!N$3</f>
        <v>27.04</v>
      </c>
      <c r="O156" s="4">
        <f>(SUM(A!M141:M147)/A!O$3*1000-SUM(A!P153:P159))/7+A!N155</f>
        <v>2604.1589603727161</v>
      </c>
      <c r="P156" s="4">
        <f t="shared" si="28"/>
        <v>1407</v>
      </c>
      <c r="Q156" s="1">
        <f>SUM(A!P153:P159)/7</f>
        <v>1560.4285714285713</v>
      </c>
      <c r="S156" s="4"/>
      <c r="T156" s="8"/>
      <c r="U156" s="8"/>
      <c r="V156" s="8"/>
      <c r="Z156" s="10">
        <f t="shared" si="29"/>
        <v>44087</v>
      </c>
      <c r="AA156" s="1">
        <f>AI156*AI$3*2</f>
        <v>2329864</v>
      </c>
      <c r="AB156" s="1">
        <f t="shared" si="32"/>
        <v>18341.857142857141</v>
      </c>
      <c r="AC156" s="1">
        <f t="shared" si="33"/>
        <v>4100.8728743994143</v>
      </c>
      <c r="AD156" s="1">
        <f t="shared" si="34"/>
        <v>34873.787813247902</v>
      </c>
      <c r="AF156" s="10">
        <f t="shared" si="30"/>
        <v>44087</v>
      </c>
      <c r="AG156" s="6">
        <f t="shared" si="35"/>
        <v>0.1649709032054385</v>
      </c>
      <c r="AH156" s="6">
        <f t="shared" si="31"/>
        <v>0.62687605329039242</v>
      </c>
      <c r="AI156" s="6">
        <f>V$26/V$57*AI$4</f>
        <v>1.366941551665612</v>
      </c>
      <c r="AJ156" s="1"/>
    </row>
    <row r="157" spans="2:36" ht="15.6">
      <c r="B157" s="2">
        <f t="shared" si="27"/>
        <v>44088</v>
      </c>
      <c r="C157" s="1">
        <v>260355</v>
      </c>
      <c r="D157" s="1">
        <v>9350</v>
      </c>
      <c r="E157" s="1">
        <v>233300</v>
      </c>
      <c r="F157" s="1">
        <f>+A!C157-A!D157-A!E157</f>
        <v>17705</v>
      </c>
      <c r="G157" s="1"/>
      <c r="H157" s="4">
        <f>SUM(A!J157:J163)/7*1000000/A!H$3-SUM(A!F157:F163)/7*(1-A!N$3)</f>
        <v>3414.6809523809534</v>
      </c>
      <c r="I157" s="7">
        <f>SUM(A!F154:F160)/7</f>
        <v>17943.714285714286</v>
      </c>
      <c r="J157" s="1">
        <v>237</v>
      </c>
      <c r="K157" s="1">
        <v>2</v>
      </c>
      <c r="L157" s="1"/>
      <c r="M157" s="4">
        <f>A!D157-A!D158</f>
        <v>1</v>
      </c>
      <c r="N157" s="11">
        <f>SUM(A!P157:P163)/7*A!N$3</f>
        <v>27.302857142857142</v>
      </c>
      <c r="O157" s="4">
        <f>(SUM(A!M142:M148)/A!O$3*1000-SUM(A!P154:P160))/7+A!N156</f>
        <v>2454.4106224153275</v>
      </c>
      <c r="P157" s="4">
        <f t="shared" si="28"/>
        <v>927</v>
      </c>
      <c r="Q157" s="1">
        <f>SUM(A!P154:P160)/7</f>
        <v>1498.7142857142858</v>
      </c>
      <c r="S157" s="4"/>
      <c r="T157" s="8"/>
      <c r="U157" s="8"/>
      <c r="V157" s="8"/>
      <c r="Z157" s="10">
        <f t="shared" si="29"/>
        <v>44086</v>
      </c>
      <c r="AA157" s="1">
        <f>AI157*AI$3*2</f>
        <v>2329864</v>
      </c>
      <c r="AB157" s="1">
        <f t="shared" si="32"/>
        <v>17943.714285714286</v>
      </c>
      <c r="AC157" s="1">
        <f t="shared" si="33"/>
        <v>4223.8891537192758</v>
      </c>
      <c r="AD157" s="1">
        <f t="shared" si="34"/>
        <v>35943.59085776416</v>
      </c>
      <c r="AF157" s="10">
        <f t="shared" si="30"/>
        <v>44086</v>
      </c>
      <c r="AG157" s="6">
        <f t="shared" si="35"/>
        <v>0.17210436391326717</v>
      </c>
      <c r="AH157" s="6">
        <f t="shared" si="31"/>
        <v>0.63885741556628173</v>
      </c>
      <c r="AI157" s="6">
        <f>V$26/V$57*AI$4</f>
        <v>1.366941551665612</v>
      </c>
      <c r="AJ157" s="1"/>
    </row>
    <row r="158" spans="2:36" ht="15.6">
      <c r="B158" s="2">
        <f t="shared" ref="B158:B221" si="36">+B159+1</f>
        <v>44087</v>
      </c>
      <c r="C158" s="1">
        <f>+C159+948</f>
        <v>259428</v>
      </c>
      <c r="D158" s="1">
        <v>9349</v>
      </c>
      <c r="E158" s="1">
        <v>232100</v>
      </c>
      <c r="F158" s="1">
        <f>+A!C158-A!D158-A!E158</f>
        <v>17979</v>
      </c>
      <c r="G158" s="1"/>
      <c r="H158" s="4">
        <f>SUM(A!J158:J164)/7*1000000/A!H$3-SUM(A!F158:F164)/7*(1-A!N$3)</f>
        <v>3472.7352380952361</v>
      </c>
      <c r="I158" s="7">
        <f>SUM(A!F155:F161)/7</f>
        <v>17577.857142857141</v>
      </c>
      <c r="J158" s="1">
        <v>220</v>
      </c>
      <c r="K158" s="1">
        <v>4</v>
      </c>
      <c r="L158" s="1"/>
      <c r="M158" s="4">
        <f>A!D158-A!D159</f>
        <v>2</v>
      </c>
      <c r="N158" s="11">
        <f>SUM(A!P158:P164)/7*A!N$3</f>
        <v>26.98</v>
      </c>
      <c r="O158" s="4">
        <f>(SUM(A!M143:M149)/A!O$3*1000-SUM(A!P155:P161))/7+A!N157</f>
        <v>2445.4685379259804</v>
      </c>
      <c r="P158" s="4">
        <f t="shared" si="28"/>
        <v>948</v>
      </c>
      <c r="Q158" s="1">
        <f>SUM(A!P155:P161)/7</f>
        <v>1455.5714285714287</v>
      </c>
      <c r="S158" s="4"/>
      <c r="T158" s="8"/>
      <c r="U158" s="8"/>
      <c r="V158" s="8"/>
      <c r="Z158" s="10">
        <f t="shared" si="29"/>
        <v>44085</v>
      </c>
      <c r="AA158" s="1">
        <f>AI158*AI$3*2</f>
        <v>2329864</v>
      </c>
      <c r="AB158" s="1">
        <f t="shared" si="32"/>
        <v>17577.857142857141</v>
      </c>
      <c r="AC158" s="1">
        <f t="shared" si="33"/>
        <v>4409.7058622948998</v>
      </c>
      <c r="AD158" s="1">
        <f t="shared" si="34"/>
        <v>32357.131907618772</v>
      </c>
      <c r="AF158" s="10">
        <f t="shared" si="30"/>
        <v>44085</v>
      </c>
      <c r="AG158" s="6">
        <f t="shared" si="35"/>
        <v>0.18152386511785312</v>
      </c>
      <c r="AH158" s="6">
        <f t="shared" si="31"/>
        <v>0.61939223210306948</v>
      </c>
      <c r="AI158" s="6">
        <f>V$26/V$57*AI$4</f>
        <v>1.366941551665612</v>
      </c>
      <c r="AJ158" s="1"/>
    </row>
    <row r="159" spans="2:36" ht="15.6">
      <c r="B159" s="2">
        <f t="shared" si="36"/>
        <v>44086</v>
      </c>
      <c r="C159" s="1">
        <f>+C160+1630</f>
        <v>258480</v>
      </c>
      <c r="D159" s="1">
        <v>9347</v>
      </c>
      <c r="E159" s="1">
        <v>231400</v>
      </c>
      <c r="F159" s="1">
        <f>+A!C159-A!D159-A!E159</f>
        <v>17733</v>
      </c>
      <c r="G159" s="1"/>
      <c r="H159" s="4">
        <f>SUM(A!J159:J165)/7*1000000/A!H$3-SUM(A!F159:F165)/7*(1-A!N$3)</f>
        <v>3589.9984126984164</v>
      </c>
      <c r="I159" s="7">
        <f>SUM(A!F156:F162)/7</f>
        <v>17269.428571428572</v>
      </c>
      <c r="J159" s="1">
        <v>220</v>
      </c>
      <c r="K159" s="1">
        <v>0</v>
      </c>
      <c r="L159" s="1"/>
      <c r="M159" s="4">
        <f>A!D159-A!D160</f>
        <v>5</v>
      </c>
      <c r="N159" s="11">
        <f>SUM(A!P159:P165)/7*A!N$3</f>
        <v>27.094285714285718</v>
      </c>
      <c r="O159" s="4">
        <f>(SUM(A!M144:M150)/A!O$3*1000-SUM(A!P156:P162))/7+A!N158</f>
        <v>2391.6737130293673</v>
      </c>
      <c r="P159" s="4">
        <f t="shared" ref="P159:P222" si="37">C159-C160</f>
        <v>1630</v>
      </c>
      <c r="Q159" s="1">
        <f>SUM(A!P156:P162)/7</f>
        <v>1352</v>
      </c>
      <c r="S159" s="4"/>
      <c r="T159" s="8"/>
      <c r="U159" s="8"/>
      <c r="V159" s="8"/>
      <c r="Z159" s="10">
        <f t="shared" si="29"/>
        <v>44084</v>
      </c>
      <c r="AA159" s="1">
        <f>AI159*AI$3*2</f>
        <v>2329864</v>
      </c>
      <c r="AB159" s="1">
        <f t="shared" si="32"/>
        <v>17269.428571428572</v>
      </c>
      <c r="AC159" s="1">
        <f t="shared" si="33"/>
        <v>4553.8777039154802</v>
      </c>
      <c r="AD159" s="1">
        <f t="shared" si="34"/>
        <v>30254.772695429743</v>
      </c>
      <c r="AF159" s="10">
        <f t="shared" si="30"/>
        <v>44084</v>
      </c>
      <c r="AG159" s="6">
        <f t="shared" si="35"/>
        <v>0.18836341127417242</v>
      </c>
      <c r="AH159" s="6">
        <f t="shared" si="31"/>
        <v>0.60658868657464993</v>
      </c>
      <c r="AI159" s="6">
        <f>V$26/V$57*AI$4</f>
        <v>1.366941551665612</v>
      </c>
      <c r="AJ159" s="1"/>
    </row>
    <row r="160" spans="2:36" ht="15.6">
      <c r="B160" s="2">
        <f t="shared" si="36"/>
        <v>44085</v>
      </c>
      <c r="C160" s="1">
        <v>256850</v>
      </c>
      <c r="D160" s="1">
        <v>9342</v>
      </c>
      <c r="E160" s="1">
        <v>230600</v>
      </c>
      <c r="F160" s="1">
        <f>+A!C160-A!D160-A!E160</f>
        <v>16908</v>
      </c>
      <c r="G160" s="1"/>
      <c r="H160" s="4">
        <f>SUM(A!J160:J166)/7*1000000/A!H$3-SUM(A!F160:F166)/7*(1-A!N$3)</f>
        <v>3787.890476190476</v>
      </c>
      <c r="I160" s="7">
        <f>SUM(A!F157:F163)/7</f>
        <v>17079.285714285714</v>
      </c>
      <c r="J160" s="1">
        <v>220</v>
      </c>
      <c r="K160" s="1">
        <v>10</v>
      </c>
      <c r="L160" s="1"/>
      <c r="M160" s="4">
        <f>A!D160-A!D161</f>
        <v>1</v>
      </c>
      <c r="N160" s="11">
        <f>SUM(A!P160:P166)/7*A!N$3</f>
        <v>26.374285714285715</v>
      </c>
      <c r="O160" s="4">
        <f>(SUM(A!M145:M151)/A!O$3*1000-SUM(A!P157:P163))/7+A!N159</f>
        <v>2221.6017452756114</v>
      </c>
      <c r="P160" s="4">
        <f t="shared" si="37"/>
        <v>1484</v>
      </c>
      <c r="Q160" s="1">
        <f>SUM(A!P157:P163)/7</f>
        <v>1365.1428571428571</v>
      </c>
      <c r="S160" s="4"/>
      <c r="T160" s="8"/>
      <c r="U160" s="8"/>
      <c r="V160" s="8"/>
      <c r="W160" s="8"/>
      <c r="Z160" s="10">
        <f t="shared" si="29"/>
        <v>44083</v>
      </c>
      <c r="AA160" s="1">
        <f>AI160*AI$3*2</f>
        <v>2329864</v>
      </c>
      <c r="AB160" s="1">
        <f t="shared" si="32"/>
        <v>17079.285714285714</v>
      </c>
      <c r="AC160" s="1">
        <f t="shared" si="33"/>
        <v>4447.2958794676488</v>
      </c>
      <c r="AD160" s="1">
        <f t="shared" si="34"/>
        <v>23745.845921416727</v>
      </c>
      <c r="AF160" s="10">
        <f t="shared" si="30"/>
        <v>44083</v>
      </c>
      <c r="AG160" s="6">
        <f t="shared" si="35"/>
        <v>0.18623509155586518</v>
      </c>
      <c r="AH160" s="6">
        <f t="shared" si="31"/>
        <v>0.54994529246704849</v>
      </c>
      <c r="AI160" s="6">
        <f>V$26/V$57*AI$4</f>
        <v>1.366941551665612</v>
      </c>
      <c r="AJ160" s="1"/>
    </row>
    <row r="161" spans="2:36" ht="15.6">
      <c r="B161" s="2">
        <f t="shared" si="36"/>
        <v>44084</v>
      </c>
      <c r="C161" s="1">
        <v>255366</v>
      </c>
      <c r="D161" s="1">
        <v>9341</v>
      </c>
      <c r="E161" s="1">
        <v>229400</v>
      </c>
      <c r="F161" s="1">
        <f>+A!C161-A!D161-A!E161</f>
        <v>16625</v>
      </c>
      <c r="G161" s="1"/>
      <c r="H161" s="4">
        <f>SUM(A!J161:J167)/7*1000000/A!H$3-SUM(A!F161:F167)/7*(1-A!N$3)</f>
        <v>3922.9225396825404</v>
      </c>
      <c r="I161" s="7">
        <f>SUM(A!F158:F164)/7</f>
        <v>16903.428571428572</v>
      </c>
      <c r="J161" s="1">
        <v>233</v>
      </c>
      <c r="K161" s="1">
        <v>9</v>
      </c>
      <c r="L161" s="1"/>
      <c r="M161" s="4">
        <f>A!D161-A!D162</f>
        <v>3</v>
      </c>
      <c r="N161" s="11">
        <f>SUM(A!P161:P167)/7*A!N$3</f>
        <v>26.285714285714285</v>
      </c>
      <c r="O161" s="4">
        <f>(SUM(A!M146:M152)/A!O$3*1000-SUM(A!P158:P164))/7+A!N160</f>
        <v>2079.9812060932841</v>
      </c>
      <c r="P161" s="4">
        <f t="shared" si="37"/>
        <v>1892</v>
      </c>
      <c r="Q161" s="1">
        <f>SUM(A!P158:P164)/7</f>
        <v>1349</v>
      </c>
      <c r="S161" s="4"/>
      <c r="T161" s="8"/>
      <c r="U161" s="8"/>
      <c r="V161" s="8"/>
      <c r="W161" s="8"/>
      <c r="Z161" s="10">
        <f t="shared" si="29"/>
        <v>44082</v>
      </c>
      <c r="AA161" s="1">
        <f>AI161*AI$3*2</f>
        <v>2329864</v>
      </c>
      <c r="AB161" s="1">
        <f t="shared" si="32"/>
        <v>16903.428571428572</v>
      </c>
      <c r="AC161" s="1">
        <f t="shared" si="33"/>
        <v>4424.386011663446</v>
      </c>
      <c r="AD161" s="1">
        <f t="shared" si="34"/>
        <v>12488.909727197417</v>
      </c>
      <c r="AF161" s="10">
        <f t="shared" si="30"/>
        <v>44082</v>
      </c>
      <c r="AG161" s="6">
        <f t="shared" si="35"/>
        <v>0.18628466860705734</v>
      </c>
      <c r="AH161" s="6">
        <f t="shared" si="31"/>
        <v>0.3925454347803064</v>
      </c>
      <c r="AI161" s="6">
        <f>V$26/V$57*AI$4</f>
        <v>1.366941551665612</v>
      </c>
      <c r="AJ161" s="1"/>
    </row>
    <row r="162" spans="2:36" ht="15.6">
      <c r="B162" s="2">
        <f t="shared" si="36"/>
        <v>44083</v>
      </c>
      <c r="C162" s="1">
        <v>253474</v>
      </c>
      <c r="D162" s="1">
        <v>9338</v>
      </c>
      <c r="E162" s="1">
        <v>228000</v>
      </c>
      <c r="F162" s="1">
        <f>+A!C162-A!D162-A!E162</f>
        <v>16136</v>
      </c>
      <c r="G162" s="1"/>
      <c r="H162" s="4">
        <f>SUM(A!J162:J168)/7*1000000/A!H$3-SUM(A!F162:F168)/7*(1-A!N$3)</f>
        <v>3835.138412698414</v>
      </c>
      <c r="I162" s="7">
        <f>SUM(A!F159:F165)/7</f>
        <v>16757.857142857141</v>
      </c>
      <c r="J162" s="1">
        <v>227</v>
      </c>
      <c r="K162" s="1">
        <v>-6</v>
      </c>
      <c r="L162" s="1"/>
      <c r="M162" s="4">
        <f>A!D162-A!D163</f>
        <v>9</v>
      </c>
      <c r="N162" s="11">
        <f>SUM(A!P162:P168)/7*A!N$3</f>
        <v>24.625714285714285</v>
      </c>
      <c r="O162" s="4">
        <f>(SUM(A!M147:M153)/A!O$3*1000-SUM(A!P159:P165))/7+A!N161</f>
        <v>1655.3959587499344</v>
      </c>
      <c r="P162" s="4">
        <f t="shared" si="37"/>
        <v>1176</v>
      </c>
      <c r="Q162" s="1">
        <f>SUM(A!P159:P165)/7</f>
        <v>1354.7142857142858</v>
      </c>
      <c r="S162" s="4"/>
      <c r="T162" s="8"/>
      <c r="U162" s="8"/>
      <c r="V162" s="8"/>
      <c r="W162" s="8"/>
      <c r="Z162" s="10">
        <f t="shared" si="29"/>
        <v>44081</v>
      </c>
      <c r="AA162" s="1">
        <f>AI162*AI$3*2</f>
        <v>2329864</v>
      </c>
      <c r="AB162" s="1">
        <f t="shared" si="32"/>
        <v>16757.857142857141</v>
      </c>
      <c r="AC162" s="1">
        <f t="shared" si="33"/>
        <v>4440.8332914726643</v>
      </c>
      <c r="AD162" s="1">
        <f t="shared" si="34"/>
        <v>7146.8489675577921</v>
      </c>
      <c r="AF162" s="10">
        <f t="shared" si="30"/>
        <v>44081</v>
      </c>
      <c r="AG162" s="6">
        <f t="shared" si="35"/>
        <v>0.18821210714286388</v>
      </c>
      <c r="AH162" s="6">
        <f t="shared" si="31"/>
        <v>0.27173453512369355</v>
      </c>
      <c r="AI162" s="6">
        <f>V$26/V$57*AI$4</f>
        <v>1.366941551665612</v>
      </c>
      <c r="AJ162" s="1" t="str">
        <f>AJ155</f>
        <v>x</v>
      </c>
    </row>
    <row r="163" spans="2:36" ht="15.6">
      <c r="B163" s="2">
        <f t="shared" si="36"/>
        <v>44082</v>
      </c>
      <c r="C163" s="1">
        <v>252298</v>
      </c>
      <c r="D163" s="1">
        <v>9329</v>
      </c>
      <c r="E163" s="1">
        <v>226500</v>
      </c>
      <c r="F163" s="1">
        <f>+A!C163-A!D163-A!E163</f>
        <v>16469</v>
      </c>
      <c r="G163" s="1"/>
      <c r="H163" s="4">
        <f>SUM(A!J163:J169)/7*1000000/A!H$3-SUM(A!F163:F169)/7*(1-A!N$3)</f>
        <v>3804.9968253968218</v>
      </c>
      <c r="I163" s="7">
        <f>SUM(A!F160:F166)/7</f>
        <v>16620.714285714286</v>
      </c>
      <c r="J163" s="1">
        <v>230</v>
      </c>
      <c r="K163" s="1">
        <v>6</v>
      </c>
      <c r="L163" s="1"/>
      <c r="M163" s="4">
        <f>A!D163-A!D164</f>
        <v>4</v>
      </c>
      <c r="N163" s="11">
        <f>SUM(A!P163:P169)/7*A!N$3</f>
        <v>24.854285714285716</v>
      </c>
      <c r="O163" s="4">
        <f>(SUM(A!M148:M154)/A!O$3*1000-SUM(A!P160:P166))/7+A!N162</f>
        <v>852.17117834895032</v>
      </c>
      <c r="P163" s="4">
        <f t="shared" si="37"/>
        <v>1499</v>
      </c>
      <c r="Q163" s="1">
        <f>SUM(A!P160:P166)/7</f>
        <v>1318.7142857142858</v>
      </c>
      <c r="S163" s="4"/>
      <c r="T163" s="8"/>
      <c r="U163" s="8"/>
      <c r="V163" s="8"/>
      <c r="W163" s="8"/>
      <c r="Z163" s="10">
        <f t="shared" si="29"/>
        <v>44080</v>
      </c>
      <c r="AA163" s="1">
        <f>AI163*AI$3*2</f>
        <v>2144632</v>
      </c>
      <c r="AB163" s="1">
        <f t="shared" si="32"/>
        <v>16620.714285714286</v>
      </c>
      <c r="AC163" s="1">
        <f t="shared" si="33"/>
        <v>4604.0297099219197</v>
      </c>
      <c r="AD163" s="1">
        <f t="shared" si="34"/>
        <v>10430.95029883815</v>
      </c>
      <c r="AF163" s="10">
        <f t="shared" si="30"/>
        <v>44080</v>
      </c>
      <c r="AG163" s="6">
        <f t="shared" si="35"/>
        <v>0.19535774589931379</v>
      </c>
      <c r="AH163" s="6">
        <f t="shared" si="31"/>
        <v>0.35486552497081192</v>
      </c>
      <c r="AI163" s="6">
        <f>V$27/V$57*AI$4</f>
        <v>1.2582651149731163</v>
      </c>
      <c r="AJ163" s="1"/>
    </row>
    <row r="164" spans="2:36" ht="15.6">
      <c r="B164" s="2">
        <f t="shared" si="36"/>
        <v>44081</v>
      </c>
      <c r="C164" s="1">
        <v>250799</v>
      </c>
      <c r="D164" s="1">
        <v>9325</v>
      </c>
      <c r="E164" s="1">
        <v>225000</v>
      </c>
      <c r="F164" s="1">
        <f>+A!C164-A!D164-A!E164</f>
        <v>16474</v>
      </c>
      <c r="G164" s="1"/>
      <c r="H164" s="4">
        <f>SUM(A!J164:J170)/7*1000000/A!H$3-SUM(A!F164:F170)/7*(1-A!N$3)</f>
        <v>3836.5688888888908</v>
      </c>
      <c r="I164" s="7">
        <f>SUM(A!F161:F167)/7</f>
        <v>16547.714285714286</v>
      </c>
      <c r="J164" s="1">
        <v>228</v>
      </c>
      <c r="K164" s="1">
        <v>1</v>
      </c>
      <c r="L164" s="1"/>
      <c r="M164" s="4">
        <f>A!D164-A!D165</f>
        <v>0</v>
      </c>
      <c r="N164" s="11">
        <f>SUM(A!P164:P170)/7*A!N$3</f>
        <v>24.051428571428573</v>
      </c>
      <c r="O164" s="4">
        <f>(SUM(A!M149:M155)/A!O$3*1000-SUM(A!P161:P167))/7+A!N163</f>
        <v>490.39372978066274</v>
      </c>
      <c r="P164" s="4">
        <f t="shared" si="37"/>
        <v>814</v>
      </c>
      <c r="Q164" s="1">
        <f>SUM(A!P161:P167)/7</f>
        <v>1314.2857142857142</v>
      </c>
      <c r="S164" s="4"/>
      <c r="T164" s="8"/>
      <c r="U164" s="8"/>
      <c r="V164" s="8"/>
      <c r="W164" s="8"/>
      <c r="Z164" s="10">
        <f t="shared" si="29"/>
        <v>44079</v>
      </c>
      <c r="AA164" s="1">
        <f>AI164*AI$3*2</f>
        <v>2144632</v>
      </c>
      <c r="AB164" s="1">
        <f t="shared" si="32"/>
        <v>16547.714285714286</v>
      </c>
      <c r="AC164" s="1">
        <f t="shared" si="33"/>
        <v>4865.1563076756565</v>
      </c>
      <c r="AD164" s="1">
        <f t="shared" si="34"/>
        <v>10904.088909083366</v>
      </c>
      <c r="AF164" s="10">
        <f t="shared" si="30"/>
        <v>44079</v>
      </c>
      <c r="AG164" s="6">
        <f t="shared" si="35"/>
        <v>0.20486705486048248</v>
      </c>
      <c r="AH164" s="6">
        <f t="shared" si="31"/>
        <v>0.36607113686465675</v>
      </c>
      <c r="AI164" s="6">
        <f>V$27/V$57*AI$4</f>
        <v>1.2582651149731163</v>
      </c>
      <c r="AJ164" s="1"/>
    </row>
    <row r="165" spans="2:36" ht="15.6">
      <c r="B165" s="2">
        <f t="shared" si="36"/>
        <v>44080</v>
      </c>
      <c r="C165" s="1">
        <v>249985</v>
      </c>
      <c r="D165" s="1">
        <v>9325</v>
      </c>
      <c r="E165" s="1">
        <v>223700</v>
      </c>
      <c r="F165" s="1">
        <f>+A!C165-A!D165-A!E165</f>
        <v>16960</v>
      </c>
      <c r="G165" s="1"/>
      <c r="H165" s="4">
        <f>SUM(A!J165:J171)/7*1000000/A!H$3-SUM(A!F165:F171)/7*(1-A!N$3)</f>
        <v>4007.8803174603181</v>
      </c>
      <c r="I165" s="7">
        <f>SUM(A!F162:F168)/7</f>
        <v>16507.714285714286</v>
      </c>
      <c r="J165" s="1">
        <v>218</v>
      </c>
      <c r="K165" s="1">
        <v>4</v>
      </c>
      <c r="L165" s="1"/>
      <c r="M165" s="4">
        <f>A!D165-A!D166</f>
        <v>1</v>
      </c>
      <c r="N165" s="11">
        <f>SUM(A!P165:P171)/7*A!N$3</f>
        <v>23.468571428571426</v>
      </c>
      <c r="O165" s="4">
        <f>(SUM(A!M150:M156)/A!O$3*1000-SUM(A!P162:P168))/7+A!N164</f>
        <v>677.28647018792844</v>
      </c>
      <c r="P165" s="4">
        <f t="shared" si="37"/>
        <v>988</v>
      </c>
      <c r="Q165" s="1">
        <f>SUM(A!P162:P168)/7</f>
        <v>1231.2857142857142</v>
      </c>
      <c r="S165" s="4"/>
      <c r="T165" s="8"/>
      <c r="U165" s="8"/>
      <c r="V165" s="8"/>
      <c r="W165" s="8"/>
      <c r="Z165" s="10">
        <f t="shared" si="29"/>
        <v>44078</v>
      </c>
      <c r="AA165" s="1">
        <f>AI165*AI$3*2</f>
        <v>2144632</v>
      </c>
      <c r="AB165" s="1">
        <f t="shared" si="32"/>
        <v>16507.714285714286</v>
      </c>
      <c r="AC165" s="1">
        <f t="shared" si="33"/>
        <v>4892.4525249810531</v>
      </c>
      <c r="AD165" s="1">
        <f t="shared" si="34"/>
        <v>11872.830046537554</v>
      </c>
      <c r="AF165" s="10">
        <f t="shared" si="30"/>
        <v>44078</v>
      </c>
      <c r="AG165" s="6">
        <f t="shared" si="35"/>
        <v>0.20600646723627641</v>
      </c>
      <c r="AH165" s="6">
        <f t="shared" si="31"/>
        <v>0.38636711021380044</v>
      </c>
      <c r="AI165" s="6">
        <f>V$27/V$57*AI$4</f>
        <v>1.2582651149731163</v>
      </c>
      <c r="AJ165" s="1"/>
    </row>
    <row r="166" spans="2:36" ht="15.6">
      <c r="B166" s="2">
        <f t="shared" si="36"/>
        <v>44079</v>
      </c>
      <c r="C166" s="1">
        <v>248997</v>
      </c>
      <c r="D166" s="1">
        <v>9324</v>
      </c>
      <c r="E166" s="1">
        <v>222900</v>
      </c>
      <c r="F166" s="1">
        <f>+A!C166-A!D166-A!E166</f>
        <v>16773</v>
      </c>
      <c r="G166" s="1"/>
      <c r="H166" s="4">
        <f>SUM(A!J166:J172)/7*1000000/A!H$3-SUM(A!F166:F172)/7*(1-A!N$3)</f>
        <v>4264.4974603174596</v>
      </c>
      <c r="I166" s="7">
        <f>SUM(A!F163:F169)/7</f>
        <v>16551.428571428572</v>
      </c>
      <c r="J166" s="1">
        <v>225</v>
      </c>
      <c r="K166" s="1">
        <v>0</v>
      </c>
      <c r="L166" s="1"/>
      <c r="M166" s="4">
        <f>A!D166-A!D167</f>
        <v>2</v>
      </c>
      <c r="N166" s="11">
        <f>SUM(A!P166:P172)/7*A!N$3</f>
        <v>22.888571428571428</v>
      </c>
      <c r="O166" s="4">
        <f>(SUM(A!M151:M157)/A!O$3*1000-SUM(A!P163:P169))/7+A!N165</f>
        <v>717.62284039156157</v>
      </c>
      <c r="P166" s="4">
        <f t="shared" si="37"/>
        <v>1378</v>
      </c>
      <c r="Q166" s="1">
        <f>SUM(A!P163:P169)/7</f>
        <v>1242.7142857142858</v>
      </c>
      <c r="S166" s="4"/>
      <c r="T166" s="8"/>
      <c r="U166" s="8"/>
      <c r="V166" s="8"/>
      <c r="W166" s="8"/>
      <c r="Z166" s="10">
        <f t="shared" si="29"/>
        <v>44077</v>
      </c>
      <c r="AA166" s="1">
        <f>AI166*AI$3*2</f>
        <v>2144632</v>
      </c>
      <c r="AB166" s="1">
        <f t="shared" si="32"/>
        <v>16551.428571428572</v>
      </c>
      <c r="AC166" s="1">
        <f t="shared" si="33"/>
        <v>4955.8507566091721</v>
      </c>
      <c r="AD166" s="1">
        <f t="shared" si="34"/>
        <v>11849.590847697462</v>
      </c>
      <c r="AF166" s="10">
        <f t="shared" si="30"/>
        <v>44077</v>
      </c>
      <c r="AG166" s="6">
        <f t="shared" si="35"/>
        <v>0.20742229843595039</v>
      </c>
      <c r="AH166" s="6">
        <f t="shared" si="31"/>
        <v>0.38489811610544139</v>
      </c>
      <c r="AI166" s="6">
        <f>V$27/V$57*AI$4</f>
        <v>1.2582651149731163</v>
      </c>
      <c r="AJ166" s="1"/>
    </row>
    <row r="167" spans="2:36" ht="15.6">
      <c r="B167" s="2">
        <f t="shared" si="36"/>
        <v>44078</v>
      </c>
      <c r="C167" s="1">
        <v>247619</v>
      </c>
      <c r="D167" s="1">
        <v>9322</v>
      </c>
      <c r="E167" s="1">
        <v>221900</v>
      </c>
      <c r="F167" s="1">
        <f>+A!C167-A!D167-A!E167</f>
        <v>16397</v>
      </c>
      <c r="G167" s="1"/>
      <c r="H167" s="4">
        <f>SUM(A!J167:J173)/7*1000000/A!H$3-SUM(A!F167:F173)/7*(1-A!N$3)</f>
        <v>4302.8200000000033</v>
      </c>
      <c r="I167" s="7">
        <f>SUM(A!F164:F170)/7</f>
        <v>16584</v>
      </c>
      <c r="J167" s="1">
        <v>225</v>
      </c>
      <c r="K167" s="1">
        <v>-1</v>
      </c>
      <c r="L167" s="1"/>
      <c r="M167" s="4">
        <f>A!D167-A!D168</f>
        <v>1</v>
      </c>
      <c r="N167" s="11">
        <f>SUM(A!P167:P173)/7*A!N$3</f>
        <v>23.177142857142858</v>
      </c>
      <c r="O167" s="4">
        <f>(SUM(A!M152:M158)/A!O$3*1000-SUM(A!P164:P170))/7+A!N166</f>
        <v>757.18569753441875</v>
      </c>
      <c r="P167" s="4">
        <f t="shared" si="37"/>
        <v>1453</v>
      </c>
      <c r="Q167" s="1">
        <f>SUM(A!P164:P170)/7</f>
        <v>1202.5714285714287</v>
      </c>
      <c r="S167" s="4"/>
      <c r="T167" s="8"/>
      <c r="U167" s="8"/>
      <c r="V167" s="8"/>
      <c r="W167" s="8"/>
      <c r="Z167" s="10">
        <f t="shared" si="29"/>
        <v>44076</v>
      </c>
      <c r="AA167" s="1">
        <f>AI167*AI$3*2</f>
        <v>2144632</v>
      </c>
      <c r="AB167" s="1">
        <f t="shared" si="32"/>
        <v>16584</v>
      </c>
      <c r="AC167" s="1">
        <f t="shared" si="33"/>
        <v>5140.165398484357</v>
      </c>
      <c r="AD167" s="1">
        <f t="shared" si="34"/>
        <v>7461.3757385902936</v>
      </c>
      <c r="AF167" s="10">
        <f t="shared" si="30"/>
        <v>44076</v>
      </c>
      <c r="AG167" s="6">
        <f t="shared" si="35"/>
        <v>0.21296654780960703</v>
      </c>
      <c r="AH167" s="6">
        <f t="shared" si="31"/>
        <v>0.28201648192099571</v>
      </c>
      <c r="AI167" s="6">
        <f>V$27/V$57*AI$4</f>
        <v>1.2582651149731163</v>
      </c>
      <c r="AJ167" s="1"/>
    </row>
    <row r="168" spans="2:36" ht="15.6">
      <c r="B168" s="2">
        <f t="shared" si="36"/>
        <v>44077</v>
      </c>
      <c r="C168" s="1">
        <v>246166</v>
      </c>
      <c r="D168" s="1">
        <v>9321</v>
      </c>
      <c r="E168" s="1">
        <v>220500</v>
      </c>
      <c r="F168" s="1">
        <f>+A!C168-A!D168-A!E168</f>
        <v>16345</v>
      </c>
      <c r="G168" s="1"/>
      <c r="H168" s="4">
        <f>SUM(A!J168:J174)/7*1000000/A!H$3-SUM(A!F168:F174)/7*(1-A!N$3)</f>
        <v>4355.4225396825423</v>
      </c>
      <c r="I168" s="7">
        <f>SUM(A!F165:F171)/7</f>
        <v>16642.428571428572</v>
      </c>
      <c r="J168" s="1">
        <v>223</v>
      </c>
      <c r="K168" s="1">
        <v>12</v>
      </c>
      <c r="L168" s="1"/>
      <c r="M168" s="4">
        <f>A!D168-A!D169</f>
        <v>8</v>
      </c>
      <c r="N168" s="11">
        <f>SUM(A!P168:P174)/7*A!N$3</f>
        <v>23.514285714285716</v>
      </c>
      <c r="O168" s="4">
        <f>(SUM(A!M153:M159)/A!O$3*1000-SUM(A!P165:P171))/7+A!N167</f>
        <v>734.26932733078559</v>
      </c>
      <c r="P168" s="4">
        <f t="shared" si="37"/>
        <v>1311</v>
      </c>
      <c r="Q168" s="1">
        <f>SUM(A!P165:P171)/7</f>
        <v>1173.4285714285713</v>
      </c>
      <c r="S168" s="4"/>
      <c r="T168" s="8"/>
      <c r="U168" s="8"/>
      <c r="V168" s="8"/>
      <c r="W168" s="8"/>
      <c r="Z168" s="10">
        <f t="shared" si="29"/>
        <v>44075</v>
      </c>
      <c r="AA168" s="1">
        <f>AI168*AI$3*2</f>
        <v>2144632</v>
      </c>
      <c r="AB168" s="1">
        <f t="shared" si="32"/>
        <v>16642.428571428572</v>
      </c>
      <c r="AC168" s="1">
        <f t="shared" si="33"/>
        <v>5133.8773088733979</v>
      </c>
      <c r="AD168" s="1">
        <f t="shared" si="34"/>
        <v>7200.3267689041386</v>
      </c>
      <c r="AF168" s="10">
        <f t="shared" si="30"/>
        <v>44075</v>
      </c>
      <c r="AG168" s="6">
        <f t="shared" si="35"/>
        <v>0.21138233823266928</v>
      </c>
      <c r="AH168" s="6">
        <f t="shared" si="31"/>
        <v>0.27321972551190099</v>
      </c>
      <c r="AI168" s="6">
        <f>V$27/V$57*AI$4</f>
        <v>1.2582651149731163</v>
      </c>
      <c r="AJ168" s="1"/>
    </row>
    <row r="169" spans="2:36" ht="15.6">
      <c r="B169" s="2">
        <f t="shared" si="36"/>
        <v>44076</v>
      </c>
      <c r="C169" s="1">
        <f>243599+1256</f>
        <v>244855</v>
      </c>
      <c r="D169" s="1">
        <v>9313</v>
      </c>
      <c r="E169" s="1">
        <v>219100</v>
      </c>
      <c r="F169" s="1">
        <f>+A!C169-A!D169-A!E169</f>
        <v>16442</v>
      </c>
      <c r="G169" s="1"/>
      <c r="H169" s="4">
        <f>SUM(A!J169:J175)/7*1000000/A!H$3-SUM(A!F169:F175)/7*(1-A!N$3)</f>
        <v>4527.1539682539697</v>
      </c>
      <c r="I169" s="7">
        <f>SUM(A!F166:F172)/7</f>
        <v>16730.428571428572</v>
      </c>
      <c r="J169" s="1">
        <v>228</v>
      </c>
      <c r="K169" s="1">
        <v>12</v>
      </c>
      <c r="L169" s="1"/>
      <c r="M169" s="4">
        <f>A!D169-A!D170</f>
        <v>11</v>
      </c>
      <c r="N169" s="11">
        <f>SUM(A!P169:P175)/7*A!N$3</f>
        <v>24.074285714285715</v>
      </c>
      <c r="O169" s="4">
        <f>(SUM(A!M154:M160)/A!O$3*1000-SUM(A!P166:P172))/7+A!N168</f>
        <v>449.51967753755963</v>
      </c>
      <c r="P169" s="4">
        <f t="shared" si="37"/>
        <v>1256</v>
      </c>
      <c r="Q169" s="1">
        <f>SUM(A!P166:P172)/7</f>
        <v>1144.4285714285713</v>
      </c>
      <c r="S169" s="4"/>
      <c r="T169" s="8"/>
      <c r="U169" s="8"/>
      <c r="V169" s="8"/>
      <c r="W169" s="8"/>
      <c r="Z169" s="10">
        <f t="shared" si="29"/>
        <v>44074</v>
      </c>
      <c r="AA169" s="1">
        <f>AI169*AI$3*2</f>
        <v>2144632</v>
      </c>
      <c r="AB169" s="1">
        <f t="shared" si="32"/>
        <v>16730.428571428572</v>
      </c>
      <c r="AC169" s="1">
        <f t="shared" si="33"/>
        <v>5021.1942635567284</v>
      </c>
      <c r="AD169" s="1">
        <f t="shared" si="34"/>
        <v>9433.3583198862652</v>
      </c>
      <c r="AF169" s="10">
        <f t="shared" si="30"/>
        <v>44074</v>
      </c>
      <c r="AG169" s="6">
        <f t="shared" si="35"/>
        <v>0.20704936049695022</v>
      </c>
      <c r="AH169" s="6">
        <f t="shared" si="31"/>
        <v>0.32910862065110924</v>
      </c>
      <c r="AI169" s="6">
        <f>V$27/V$57*AI$4</f>
        <v>1.2582651149731163</v>
      </c>
      <c r="AJ169" s="1" t="str">
        <f>AJ162</f>
        <v>x</v>
      </c>
    </row>
    <row r="170" spans="2:36" ht="15.6">
      <c r="B170" s="2">
        <f t="shared" si="36"/>
        <v>44075</v>
      </c>
      <c r="C170" s="1">
        <v>243599</v>
      </c>
      <c r="D170" s="1">
        <v>9302</v>
      </c>
      <c r="E170" s="1">
        <v>217600</v>
      </c>
      <c r="F170" s="1">
        <f>+A!C170-A!D170-A!E170</f>
        <v>16697</v>
      </c>
      <c r="G170" s="1"/>
      <c r="H170" s="4">
        <f>SUM(A!J170:J176)/7*1000000/A!H$3-SUM(A!F170:F176)/7*(1-A!N$3)</f>
        <v>4512.1739682539701</v>
      </c>
      <c r="I170" s="7">
        <f>SUM(A!F167:F173)/7</f>
        <v>16833.857142857141</v>
      </c>
      <c r="J170" s="1">
        <v>235</v>
      </c>
      <c r="K170" s="1">
        <v>-1</v>
      </c>
      <c r="L170" s="1"/>
      <c r="M170" s="4">
        <f>A!D170-A!D171</f>
        <v>4</v>
      </c>
      <c r="N170" s="11">
        <f>SUM(A!P170:P176)/7*A!N$3</f>
        <v>24.988571428571426</v>
      </c>
      <c r="O170" s="4">
        <f>(SUM(A!M155:M161)/A!O$3*1000-SUM(A!P167:P173))/7+A!N169</f>
        <v>435.65110610898819</v>
      </c>
      <c r="P170" s="4">
        <f t="shared" si="37"/>
        <v>1218</v>
      </c>
      <c r="Q170" s="1">
        <f>SUM(A!P167:P173)/7</f>
        <v>1158.8571428571429</v>
      </c>
      <c r="S170" s="4"/>
      <c r="T170" s="8"/>
      <c r="U170" s="8"/>
      <c r="V170" s="8"/>
      <c r="W170" s="8"/>
      <c r="Z170" s="10">
        <f t="shared" si="29"/>
        <v>44073</v>
      </c>
      <c r="AA170" s="1">
        <f>AI170*AI$3*2</f>
        <v>2241766.0000000005</v>
      </c>
      <c r="AB170" s="1">
        <f t="shared" si="32"/>
        <v>16833.857142857141</v>
      </c>
      <c r="AC170" s="1">
        <f t="shared" si="33"/>
        <v>5122.672591980092</v>
      </c>
      <c r="AD170" s="1">
        <f t="shared" si="34"/>
        <v>2082.868743882821</v>
      </c>
      <c r="AF170" s="10">
        <f t="shared" si="30"/>
        <v>44073</v>
      </c>
      <c r="AG170" s="6">
        <f t="shared" si="35"/>
        <v>0.21005049028138012</v>
      </c>
      <c r="AH170" s="6">
        <f t="shared" si="31"/>
        <v>9.7567341765110727E-2</v>
      </c>
      <c r="AI170" s="6">
        <f>V$28/V$57*AI$4</f>
        <v>1.3152540639759285</v>
      </c>
      <c r="AJ170" s="1"/>
    </row>
    <row r="171" spans="2:36" ht="15.6">
      <c r="B171" s="2">
        <f t="shared" si="36"/>
        <v>44074</v>
      </c>
      <c r="C171" s="1">
        <v>242381</v>
      </c>
      <c r="D171" s="1">
        <v>9298</v>
      </c>
      <c r="E171" s="1">
        <v>216200</v>
      </c>
      <c r="F171" s="1">
        <f>+A!C171-A!D171-A!E171</f>
        <v>16883</v>
      </c>
      <c r="G171" s="1"/>
      <c r="H171" s="4">
        <f>SUM(A!J171:J177)/7*1000000/A!H$3-SUM(A!F171:F177)/7*(1-A!N$3)</f>
        <v>4418.7330158730147</v>
      </c>
      <c r="I171" s="7">
        <f>SUM(A!F168:F174)/7</f>
        <v>16922.714285714286</v>
      </c>
      <c r="J171" s="1">
        <v>246</v>
      </c>
      <c r="K171" s="1">
        <v>3</v>
      </c>
      <c r="L171" s="1"/>
      <c r="M171" s="4">
        <f>A!D171-A!D172</f>
        <v>3</v>
      </c>
      <c r="N171" s="11">
        <f>SUM(A!P171:P177)/7*A!N$3</f>
        <v>25.16</v>
      </c>
      <c r="O171" s="4">
        <f>(SUM(A!M156:M162)/A!O$3*1000-SUM(A!P168:P174))/7+A!N170</f>
        <v>576.7516452913153</v>
      </c>
      <c r="P171" s="4">
        <f t="shared" si="37"/>
        <v>610</v>
      </c>
      <c r="Q171" s="1">
        <f>SUM(A!P168:P174)/7</f>
        <v>1175.7142857142858</v>
      </c>
      <c r="S171" s="4"/>
      <c r="T171" s="8"/>
      <c r="U171" s="8"/>
      <c r="V171" s="8"/>
      <c r="W171" s="8"/>
      <c r="Z171" s="10">
        <f t="shared" ref="Z171:Z234" si="38">AF171</f>
        <v>44072</v>
      </c>
      <c r="AA171" s="1">
        <f>AI171*AI$3*2</f>
        <v>2241766.0000000005</v>
      </c>
      <c r="AB171" s="1">
        <f t="shared" si="32"/>
        <v>16922.714285714286</v>
      </c>
      <c r="AC171" s="1">
        <f t="shared" si="33"/>
        <v>5173.6121160160947</v>
      </c>
      <c r="AD171" s="1">
        <f t="shared" si="34"/>
        <v>500.38476298028883</v>
      </c>
      <c r="AF171" s="10">
        <f t="shared" ref="AF171:AF234" si="39">B173</f>
        <v>44072</v>
      </c>
      <c r="AG171" s="6">
        <f t="shared" si="35"/>
        <v>0.2112598783301175</v>
      </c>
      <c r="AH171" s="6">
        <f t="shared" ref="AH171:AH234" si="40">O173/(O173+Q173)</f>
        <v>2.5251426214144439E-2</v>
      </c>
      <c r="AI171" s="6">
        <f>V$28/V$57*AI$4</f>
        <v>1.3152540639759285</v>
      </c>
      <c r="AJ171" s="1"/>
    </row>
    <row r="172" spans="2:36" ht="15.6">
      <c r="B172" s="2">
        <f t="shared" si="36"/>
        <v>44073</v>
      </c>
      <c r="C172" s="1">
        <v>241771</v>
      </c>
      <c r="D172" s="1">
        <v>9295</v>
      </c>
      <c r="E172" s="1">
        <v>214900</v>
      </c>
      <c r="F172" s="1">
        <f>+A!C172-A!D172-A!E172</f>
        <v>17576</v>
      </c>
      <c r="G172" s="1"/>
      <c r="H172" s="4">
        <f>SUM(A!J172:J178)/7*1000000/A!H$3-SUM(A!F172:F178)/7*(1-A!N$3)</f>
        <v>4515.2346031745983</v>
      </c>
      <c r="I172" s="7">
        <f>SUM(A!F169:F175)/7</f>
        <v>16980.714285714286</v>
      </c>
      <c r="J172" s="1">
        <v>245</v>
      </c>
      <c r="K172" s="1">
        <v>30</v>
      </c>
      <c r="L172" s="1"/>
      <c r="M172" s="4">
        <f>A!D172-A!D173</f>
        <v>6</v>
      </c>
      <c r="N172" s="11">
        <f>SUM(A!P172:P178)/7*A!N$3</f>
        <v>25.448571428571427</v>
      </c>
      <c r="O172" s="4">
        <f>(SUM(A!M157:M163)/A!O$3*1000-SUM(A!P169:P175))/7+A!N171</f>
        <v>130.14068366225197</v>
      </c>
      <c r="P172" s="4">
        <f t="shared" si="37"/>
        <v>785</v>
      </c>
      <c r="Q172" s="1">
        <f>SUM(A!P169:P175)/7</f>
        <v>1203.7142857142858</v>
      </c>
      <c r="S172" s="4"/>
      <c r="T172" s="8"/>
      <c r="U172" s="8"/>
      <c r="V172" s="8"/>
      <c r="W172" s="8"/>
      <c r="Z172" s="10">
        <f t="shared" si="38"/>
        <v>44071</v>
      </c>
      <c r="AA172" s="1">
        <f>AI172*AI$3*2</f>
        <v>2241766.0000000005</v>
      </c>
      <c r="AB172" s="1">
        <f t="shared" ref="AB172:AB235" si="41">I172</f>
        <v>16980.714285714286</v>
      </c>
      <c r="AC172" s="1">
        <f t="shared" ref="AC172:AC235" si="42">SUM(F169:F176)/7/(1-AG172)*AG172</f>
        <v>5404.8278995537812</v>
      </c>
      <c r="AD172" s="1">
        <f t="shared" ref="AD172:AD235" si="43">SUM(F169:F176)/7/(1-AH172)*AH172</f>
        <v>-439.19020026094654</v>
      </c>
      <c r="AF172" s="10">
        <f t="shared" si="39"/>
        <v>44071</v>
      </c>
      <c r="AG172" s="6">
        <f t="shared" ref="AG172:AG235" si="44">H174/(H174+I174)</f>
        <v>0.2183796638337861</v>
      </c>
      <c r="AH172" s="6">
        <f t="shared" si="40"/>
        <v>-2.3230611307946555E-2</v>
      </c>
      <c r="AI172" s="6">
        <f>V$28/V$57*AI$4</f>
        <v>1.3152540639759285</v>
      </c>
      <c r="AJ172" s="1"/>
    </row>
    <row r="173" spans="2:36" ht="15.6">
      <c r="B173" s="2">
        <f t="shared" si="36"/>
        <v>44072</v>
      </c>
      <c r="C173" s="1">
        <v>240986</v>
      </c>
      <c r="D173" s="1">
        <v>9289</v>
      </c>
      <c r="E173" s="1">
        <v>214200</v>
      </c>
      <c r="F173" s="1">
        <f>+A!C173-A!D173-A!E173</f>
        <v>17497</v>
      </c>
      <c r="G173" s="1"/>
      <c r="H173" s="4">
        <f>SUM(A!J173:J179)/7*1000000/A!H$3-SUM(A!F173:F179)/7*(1-A!N$3)</f>
        <v>4552.2888888888901</v>
      </c>
      <c r="I173" s="7">
        <f>SUM(A!F170:F176)/7</f>
        <v>16996</v>
      </c>
      <c r="J173" s="1">
        <v>236</v>
      </c>
      <c r="K173" s="1">
        <v>0</v>
      </c>
      <c r="L173" s="1"/>
      <c r="M173" s="4">
        <f>A!D173-A!D174</f>
        <v>1</v>
      </c>
      <c r="N173" s="11">
        <f>SUM(A!P173:P179)/7*A!N$3</f>
        <v>25.44</v>
      </c>
      <c r="O173" s="4">
        <f>(SUM(A!M158:M164)/A!O$3*1000-SUM(A!P170:P176))/7+A!N172</f>
        <v>32.367170601476268</v>
      </c>
      <c r="P173" s="4">
        <f t="shared" si="37"/>
        <v>1479</v>
      </c>
      <c r="Q173" s="1">
        <f>SUM(A!P170:P176)/7</f>
        <v>1249.4285714285713</v>
      </c>
      <c r="S173" s="4"/>
      <c r="T173" s="8"/>
      <c r="U173" s="8"/>
      <c r="V173" s="8"/>
      <c r="W173" s="8"/>
      <c r="Z173" s="10">
        <f t="shared" si="38"/>
        <v>44070</v>
      </c>
      <c r="AA173" s="1">
        <f>AI173*AI$3*2</f>
        <v>2241766.0000000005</v>
      </c>
      <c r="AB173" s="1">
        <f t="shared" si="41"/>
        <v>16996</v>
      </c>
      <c r="AC173" s="1">
        <f t="shared" si="42"/>
        <v>5760.4902310793368</v>
      </c>
      <c r="AD173" s="1">
        <f t="shared" si="43"/>
        <v>-3013.3090657086304</v>
      </c>
      <c r="AF173" s="10">
        <f t="shared" si="39"/>
        <v>44070</v>
      </c>
      <c r="AG173" s="6">
        <f t="shared" si="44"/>
        <v>0.22966966348711723</v>
      </c>
      <c r="AH173" s="6">
        <f t="shared" si="40"/>
        <v>-0.18477678300176115</v>
      </c>
      <c r="AI173" s="6">
        <f>V$28/V$57*AI$4</f>
        <v>1.3152540639759285</v>
      </c>
      <c r="AJ173" s="1"/>
    </row>
    <row r="174" spans="2:36" ht="15.6">
      <c r="B174" s="2">
        <f t="shared" si="36"/>
        <v>44071</v>
      </c>
      <c r="C174" s="1">
        <v>239507</v>
      </c>
      <c r="D174" s="1">
        <v>9288</v>
      </c>
      <c r="E174" s="1">
        <v>213200</v>
      </c>
      <c r="F174" s="1">
        <f>+A!C174-A!D174-A!E174</f>
        <v>17019</v>
      </c>
      <c r="G174" s="1"/>
      <c r="H174" s="4">
        <f>SUM(A!J174:J180)/7*1000000/A!H$3-SUM(A!F174:F180)/7*(1-A!N$3)</f>
        <v>4731.7688888888915</v>
      </c>
      <c r="I174" s="7">
        <f>SUM(A!F171:F177)/7</f>
        <v>16935.857142857141</v>
      </c>
      <c r="J174" s="1">
        <v>236</v>
      </c>
      <c r="K174" s="1">
        <v>-1</v>
      </c>
      <c r="L174" s="1"/>
      <c r="M174" s="4">
        <f>A!D174-A!D175</f>
        <v>3</v>
      </c>
      <c r="N174" s="11">
        <f>SUM(A!P174:P180)/7*A!N$3</f>
        <v>27.025714285714287</v>
      </c>
      <c r="O174" s="4">
        <f>(SUM(A!M159:M165)/A!O$3*1000-SUM(A!P171:P177))/7+A!N173</f>
        <v>-28.560628173585417</v>
      </c>
      <c r="P174" s="4">
        <f t="shared" si="37"/>
        <v>1571</v>
      </c>
      <c r="Q174" s="1">
        <f>SUM(A!P171:P177)/7</f>
        <v>1258</v>
      </c>
      <c r="S174" s="4"/>
      <c r="T174" s="8"/>
      <c r="U174" s="8"/>
      <c r="V174" s="8"/>
      <c r="W174" s="8"/>
      <c r="Z174" s="10">
        <f t="shared" si="38"/>
        <v>44069</v>
      </c>
      <c r="AA174" s="1">
        <f>AI174*AI$3*2</f>
        <v>2241766.0000000005</v>
      </c>
      <c r="AB174" s="1">
        <f t="shared" si="41"/>
        <v>16935.857142857141</v>
      </c>
      <c r="AC174" s="1">
        <f t="shared" si="42"/>
        <v>5994.4567758121866</v>
      </c>
      <c r="AD174" s="1">
        <f t="shared" si="43"/>
        <v>-3000.8263753690389</v>
      </c>
      <c r="AF174" s="10">
        <f t="shared" si="39"/>
        <v>44069</v>
      </c>
      <c r="AG174" s="6">
        <f t="shared" si="44"/>
        <v>0.2375854288935326</v>
      </c>
      <c r="AH174" s="6">
        <f t="shared" si="40"/>
        <v>-0.18483162765687855</v>
      </c>
      <c r="AI174" s="6">
        <f>V$28/V$57*AI$4</f>
        <v>1.3152540639759285</v>
      </c>
      <c r="AJ174" s="1"/>
    </row>
    <row r="175" spans="2:36" ht="15.6">
      <c r="B175" s="2">
        <f t="shared" si="36"/>
        <v>44070</v>
      </c>
      <c r="C175" s="1">
        <v>237936</v>
      </c>
      <c r="D175" s="1">
        <v>9285</v>
      </c>
      <c r="E175" s="1">
        <v>211900</v>
      </c>
      <c r="F175" s="1">
        <f>+A!C175-A!D175-A!E175</f>
        <v>16751</v>
      </c>
      <c r="G175" s="1"/>
      <c r="H175" s="4">
        <f>SUM(A!J175:J181)/7*1000000/A!H$3-SUM(A!F175:F181)/7*(1-A!N$3)</f>
        <v>5016.1088888888899</v>
      </c>
      <c r="I175" s="7">
        <f>SUM(A!F172:F178)/7</f>
        <v>16824.428571428572</v>
      </c>
      <c r="J175" s="1">
        <v>241</v>
      </c>
      <c r="K175" s="1">
        <v>-16</v>
      </c>
      <c r="L175" s="1"/>
      <c r="M175" s="4">
        <f>A!D175-A!D176</f>
        <v>5</v>
      </c>
      <c r="N175" s="11">
        <f>SUM(A!P175:P181)/7*A!N$3</f>
        <v>26.614285714285717</v>
      </c>
      <c r="O175" s="4">
        <f>(SUM(A!M160:M166)/A!O$3*1000-SUM(A!P172:P178))/7+A!N174</f>
        <v>-198.44688164162696</v>
      </c>
      <c r="P175" s="4">
        <f t="shared" si="37"/>
        <v>1507</v>
      </c>
      <c r="Q175" s="1">
        <f>SUM(A!P172:P178)/7</f>
        <v>1272.4285714285713</v>
      </c>
      <c r="S175" s="4"/>
      <c r="T175" s="8"/>
      <c r="U175" s="8"/>
      <c r="V175" s="8"/>
      <c r="W175" s="8"/>
      <c r="Z175" s="10">
        <f t="shared" si="38"/>
        <v>44068</v>
      </c>
      <c r="AA175" s="1">
        <f>AI175*AI$3*2</f>
        <v>2241766.0000000005</v>
      </c>
      <c r="AB175" s="1">
        <f t="shared" si="41"/>
        <v>16824.428571428572</v>
      </c>
      <c r="AC175" s="1">
        <f t="shared" si="42"/>
        <v>6496.0516855149135</v>
      </c>
      <c r="AD175" s="1">
        <f t="shared" si="43"/>
        <v>-218.66707280788566</v>
      </c>
      <c r="AF175" s="10">
        <f t="shared" si="39"/>
        <v>44068</v>
      </c>
      <c r="AG175" s="6">
        <f t="shared" si="44"/>
        <v>0.2529919675664779</v>
      </c>
      <c r="AH175" s="6">
        <f t="shared" si="40"/>
        <v>-1.1531741428605861E-2</v>
      </c>
      <c r="AI175" s="6">
        <f>V$28/V$57*AI$4</f>
        <v>1.3152540639759285</v>
      </c>
      <c r="AJ175" s="1"/>
    </row>
    <row r="176" spans="2:36" ht="15.6">
      <c r="B176" s="2">
        <f t="shared" si="36"/>
        <v>44069</v>
      </c>
      <c r="C176" s="1">
        <v>236429</v>
      </c>
      <c r="D176" s="1">
        <v>9280</v>
      </c>
      <c r="E176" s="1">
        <v>210600</v>
      </c>
      <c r="F176" s="1">
        <f>+A!C176-A!D176-A!E176</f>
        <v>16549</v>
      </c>
      <c r="G176" s="1"/>
      <c r="H176" s="4">
        <f>SUM(A!J176:J182)/7*1000000/A!H$3-SUM(A!F176:F182)/7*(1-A!N$3)</f>
        <v>5194.7447619047634</v>
      </c>
      <c r="I176" s="7">
        <f>SUM(A!F173:F179)/7</f>
        <v>16670</v>
      </c>
      <c r="J176" s="1">
        <v>228</v>
      </c>
      <c r="K176" s="1">
        <v>2</v>
      </c>
      <c r="L176" s="1"/>
      <c r="M176" s="4">
        <f>A!D176-A!D177</f>
        <v>3</v>
      </c>
      <c r="N176" s="11">
        <f>SUM(A!P176:P182)/7*A!N$3</f>
        <v>27.185714285714283</v>
      </c>
      <c r="O176" s="4">
        <f>(SUM(A!M161:M167)/A!O$3*1000-SUM(A!P173:P179))/7+A!N175</f>
        <v>-198.4297387844841</v>
      </c>
      <c r="P176" s="4">
        <f t="shared" si="37"/>
        <v>1576</v>
      </c>
      <c r="Q176" s="1">
        <f>SUM(A!P173:P179)/7</f>
        <v>1272</v>
      </c>
      <c r="S176" s="4"/>
      <c r="T176" s="8"/>
      <c r="U176" s="8"/>
      <c r="V176" s="8"/>
      <c r="W176" s="8"/>
      <c r="Z176" s="10">
        <f t="shared" si="38"/>
        <v>44067</v>
      </c>
      <c r="AA176" s="1">
        <f>AI176*AI$3*2</f>
        <v>2241766.0000000005</v>
      </c>
      <c r="AB176" s="1">
        <f t="shared" si="41"/>
        <v>16670</v>
      </c>
      <c r="AC176" s="1">
        <f t="shared" si="42"/>
        <v>7114.9996819432763</v>
      </c>
      <c r="AD176" s="1">
        <f t="shared" si="43"/>
        <v>1564.8036957551562</v>
      </c>
      <c r="AF176" s="10">
        <f t="shared" si="39"/>
        <v>44067</v>
      </c>
      <c r="AG176" s="6">
        <f t="shared" si="44"/>
        <v>0.27259043500901686</v>
      </c>
      <c r="AH176" s="6">
        <f t="shared" si="40"/>
        <v>7.6141599462813708E-2</v>
      </c>
      <c r="AI176" s="6">
        <f>V$28/V$57*AI$4</f>
        <v>1.3152540639759285</v>
      </c>
      <c r="AJ176" s="1" t="str">
        <f>AJ169</f>
        <v>x</v>
      </c>
    </row>
    <row r="177" spans="2:36" ht="15.6">
      <c r="B177" s="2">
        <f t="shared" si="36"/>
        <v>44068</v>
      </c>
      <c r="C177" s="1">
        <v>234853</v>
      </c>
      <c r="D177" s="1">
        <v>9277</v>
      </c>
      <c r="E177" s="1">
        <v>209300</v>
      </c>
      <c r="F177" s="1">
        <f>+A!C177-A!D177-A!E177</f>
        <v>16276</v>
      </c>
      <c r="G177" s="1"/>
      <c r="H177" s="4">
        <f>SUM(A!J177:J183)/7*1000000/A!H$3-SUM(A!F177:F183)/7*(1-A!N$3)</f>
        <v>5583.6647619047635</v>
      </c>
      <c r="I177" s="7">
        <f>SUM(A!F174:F180)/7</f>
        <v>16486.857142857141</v>
      </c>
      <c r="J177" s="1">
        <v>223</v>
      </c>
      <c r="K177" s="1">
        <v>56</v>
      </c>
      <c r="L177" s="1"/>
      <c r="M177" s="4">
        <f>A!D177-A!D178</f>
        <v>5</v>
      </c>
      <c r="N177" s="11">
        <f>SUM(A!P177:P183)/7*A!N$3</f>
        <v>26.997142857142858</v>
      </c>
      <c r="O177" s="4">
        <f>(SUM(A!M162:M168)/A!O$3*1000-SUM(A!P174:P180))/7+A!N176</f>
        <v>-15.405030623462309</v>
      </c>
      <c r="P177" s="4">
        <f t="shared" si="37"/>
        <v>1278</v>
      </c>
      <c r="Q177" s="1">
        <f>SUM(A!P174:P180)/7</f>
        <v>1351.2857142857142</v>
      </c>
      <c r="S177" s="4"/>
      <c r="T177" s="8"/>
      <c r="U177" s="8"/>
      <c r="V177" s="8"/>
      <c r="W177" s="8"/>
      <c r="Z177" s="10">
        <f t="shared" si="38"/>
        <v>44066</v>
      </c>
      <c r="AA177" s="1">
        <f>AI177*AI$3*2</f>
        <v>2016208</v>
      </c>
      <c r="AB177" s="1">
        <f t="shared" si="41"/>
        <v>16486.857142857141</v>
      </c>
      <c r="AC177" s="1">
        <f t="shared" si="42"/>
        <v>7426.2246988546594</v>
      </c>
      <c r="AD177" s="1">
        <f t="shared" si="43"/>
        <v>1115.8279059347201</v>
      </c>
      <c r="AF177" s="10">
        <f t="shared" si="39"/>
        <v>44066</v>
      </c>
      <c r="AG177" s="6">
        <f t="shared" si="44"/>
        <v>0.2850295790678859</v>
      </c>
      <c r="AH177" s="6">
        <f t="shared" si="40"/>
        <v>5.6515277141334773E-2</v>
      </c>
      <c r="AI177" s="6">
        <f>V$29/V$57*AI$4</f>
        <v>1.1829181840659455</v>
      </c>
      <c r="AJ177" s="1"/>
    </row>
    <row r="178" spans="2:36" ht="15.6">
      <c r="B178" s="2">
        <f t="shared" si="36"/>
        <v>44067</v>
      </c>
      <c r="C178" s="1">
        <v>233575</v>
      </c>
      <c r="D178" s="1">
        <v>9272</v>
      </c>
      <c r="E178" s="1">
        <v>208200</v>
      </c>
      <c r="F178" s="1">
        <f>+A!C178-A!D178-A!E178</f>
        <v>16103</v>
      </c>
      <c r="G178" s="1"/>
      <c r="H178" s="4">
        <f>SUM(A!J178:J184)/7*1000000/A!H$3-SUM(A!F178:F184)/7*(1-A!N$3)</f>
        <v>6069.5784126984145</v>
      </c>
      <c r="I178" s="7">
        <f>SUM(A!F175:F181)/7</f>
        <v>16196.714285714286</v>
      </c>
      <c r="J178" s="1">
        <v>245</v>
      </c>
      <c r="K178" s="1">
        <v>0</v>
      </c>
      <c r="L178" s="1"/>
      <c r="M178" s="4">
        <f>A!D178-A!D179</f>
        <v>3</v>
      </c>
      <c r="N178" s="11">
        <f>SUM(A!P178:P184)/7*A!N$3</f>
        <v>27.317142857142859</v>
      </c>
      <c r="O178" s="4">
        <f>(SUM(A!M163:M169)/A!O$3*1000-SUM(A!P175:P181))/7+A!N177</f>
        <v>109.67342406951795</v>
      </c>
      <c r="P178" s="4">
        <f t="shared" si="37"/>
        <v>711</v>
      </c>
      <c r="Q178" s="1">
        <f>SUM(A!P175:P181)/7</f>
        <v>1330.7142857142858</v>
      </c>
      <c r="S178" s="4"/>
      <c r="T178" s="8"/>
      <c r="U178" s="8"/>
      <c r="V178" s="8"/>
      <c r="W178" s="8"/>
      <c r="Z178" s="10">
        <f t="shared" si="38"/>
        <v>44065</v>
      </c>
      <c r="AA178" s="1">
        <f>AI178*AI$3*2</f>
        <v>2016208</v>
      </c>
      <c r="AB178" s="1">
        <f t="shared" si="41"/>
        <v>16196.714285714286</v>
      </c>
      <c r="AC178" s="1">
        <f t="shared" si="42"/>
        <v>7973.7563894686682</v>
      </c>
      <c r="AD178" s="1">
        <f t="shared" si="43"/>
        <v>3350.8264955898803</v>
      </c>
      <c r="AF178" s="10">
        <f t="shared" si="39"/>
        <v>44065</v>
      </c>
      <c r="AG178" s="6">
        <f t="shared" si="44"/>
        <v>0.30374347769709142</v>
      </c>
      <c r="AH178" s="6">
        <f t="shared" si="40"/>
        <v>0.15492512404377076</v>
      </c>
      <c r="AI178" s="6">
        <f>V$29/V$57*AI$4</f>
        <v>1.1829181840659455</v>
      </c>
      <c r="AJ178" s="1"/>
    </row>
    <row r="179" spans="2:36" ht="15.6">
      <c r="B179" s="2">
        <f t="shared" si="36"/>
        <v>44066</v>
      </c>
      <c r="C179" s="1">
        <v>232864</v>
      </c>
      <c r="D179" s="1">
        <v>9269</v>
      </c>
      <c r="E179" s="1">
        <v>207100</v>
      </c>
      <c r="F179" s="1">
        <f>+A!C179-A!D179-A!E179</f>
        <v>16495</v>
      </c>
      <c r="G179" s="1"/>
      <c r="H179" s="4">
        <f>SUM(A!J179:J185)/7*1000000/A!H$3-SUM(A!F179:F185)/7*(1-A!N$3)</f>
        <v>6332.6453968254009</v>
      </c>
      <c r="I179" s="7">
        <f>SUM(A!F176:F182)/7</f>
        <v>15884.857142857143</v>
      </c>
      <c r="J179" s="1">
        <v>236</v>
      </c>
      <c r="K179" s="1">
        <v>-32</v>
      </c>
      <c r="L179" s="1"/>
      <c r="M179" s="4">
        <f>A!D179-A!D180</f>
        <v>2</v>
      </c>
      <c r="N179" s="11">
        <f>SUM(A!P179:P185)/7*A!N$3</f>
        <v>26.888571428571428</v>
      </c>
      <c r="O179" s="4">
        <f>(SUM(A!M164:M170)/A!O$3*1000-SUM(A!P176:P182))/7+A!N178</f>
        <v>81.421995498089373</v>
      </c>
      <c r="P179" s="4">
        <f t="shared" si="37"/>
        <v>782</v>
      </c>
      <c r="Q179" s="1">
        <f>SUM(A!P176:P182)/7</f>
        <v>1359.2857142857142</v>
      </c>
      <c r="S179" s="4"/>
      <c r="T179" s="8"/>
      <c r="U179" s="8"/>
      <c r="V179" s="8"/>
      <c r="W179" s="8"/>
      <c r="Z179" s="10">
        <f t="shared" si="38"/>
        <v>44064</v>
      </c>
      <c r="AA179" s="1">
        <f>AI179*AI$3*2</f>
        <v>2016208</v>
      </c>
      <c r="AB179" s="1">
        <f t="shared" si="41"/>
        <v>15884.857142857143</v>
      </c>
      <c r="AC179" s="1">
        <f t="shared" si="42"/>
        <v>8495.3184031602559</v>
      </c>
      <c r="AD179" s="1">
        <f t="shared" si="43"/>
        <v>6440.4591915334986</v>
      </c>
      <c r="AF179" s="10">
        <f t="shared" si="39"/>
        <v>44064</v>
      </c>
      <c r="AG179" s="6">
        <f t="shared" si="44"/>
        <v>0.32243404095862105</v>
      </c>
      <c r="AH179" s="6">
        <f t="shared" si="40"/>
        <v>0.26512018673950261</v>
      </c>
      <c r="AI179" s="6">
        <f>V$29/V$57*AI$4</f>
        <v>1.1829181840659455</v>
      </c>
      <c r="AJ179" s="1"/>
    </row>
    <row r="180" spans="2:36" ht="15.6">
      <c r="B180" s="2">
        <f t="shared" si="36"/>
        <v>44065</v>
      </c>
      <c r="C180" s="1">
        <v>232082</v>
      </c>
      <c r="D180" s="1">
        <v>9267</v>
      </c>
      <c r="E180" s="1">
        <v>206600</v>
      </c>
      <c r="F180" s="1">
        <f>+A!C180-A!D180-A!E180</f>
        <v>16215</v>
      </c>
      <c r="G180" s="1"/>
      <c r="H180" s="4">
        <f>SUM(A!J180:J186)/7*1000000/A!H$3-SUM(A!F180:F186)/7*(1-A!N$3)</f>
        <v>6756.6749206349232</v>
      </c>
      <c r="I180" s="7">
        <f>SUM(A!F177:F183)/7</f>
        <v>15488</v>
      </c>
      <c r="J180" s="1">
        <v>236</v>
      </c>
      <c r="K180" s="1">
        <v>0</v>
      </c>
      <c r="L180" s="1"/>
      <c r="M180" s="4">
        <f>A!D180-A!D181</f>
        <v>7</v>
      </c>
      <c r="N180" s="11">
        <f>SUM(A!P180:P186)/7*A!N$3</f>
        <v>26.44</v>
      </c>
      <c r="O180" s="4">
        <f>(SUM(A!M165:M171)/A!O$3*1000-SUM(A!P177:P183))/7+A!N179</f>
        <v>247.4653918232739</v>
      </c>
      <c r="P180" s="4">
        <f t="shared" si="37"/>
        <v>2034</v>
      </c>
      <c r="Q180" s="1">
        <f>SUM(A!P177:P183)/7</f>
        <v>1349.8571428571429</v>
      </c>
      <c r="S180" s="4"/>
      <c r="T180" s="8"/>
      <c r="U180" s="8"/>
      <c r="V180" s="8"/>
      <c r="W180" s="8"/>
      <c r="Z180" s="10">
        <f t="shared" si="38"/>
        <v>44063</v>
      </c>
      <c r="AA180" s="1">
        <f>AI180*AI$3*2</f>
        <v>2016208</v>
      </c>
      <c r="AB180" s="1">
        <f t="shared" si="41"/>
        <v>15488</v>
      </c>
      <c r="AC180" s="1">
        <f t="shared" si="42"/>
        <v>8953.273072287835</v>
      </c>
      <c r="AD180" s="1">
        <f t="shared" si="43"/>
        <v>5943.7795766589961</v>
      </c>
      <c r="AF180" s="10">
        <f t="shared" si="39"/>
        <v>44063</v>
      </c>
      <c r="AG180" s="6">
        <f t="shared" si="44"/>
        <v>0.3401387280062434</v>
      </c>
      <c r="AH180" s="6">
        <f t="shared" si="40"/>
        <v>0.25495643429246762</v>
      </c>
      <c r="AI180" s="6">
        <f>V$29/V$57*AI$4</f>
        <v>1.1829181840659455</v>
      </c>
      <c r="AJ180" s="1"/>
    </row>
    <row r="181" spans="2:36" ht="15.6">
      <c r="B181" s="2">
        <f t="shared" si="36"/>
        <v>44064</v>
      </c>
      <c r="C181" s="1">
        <v>230048</v>
      </c>
      <c r="D181" s="1">
        <v>9260</v>
      </c>
      <c r="E181" s="1">
        <v>205800</v>
      </c>
      <c r="F181" s="1">
        <f>+A!C181-A!D181-A!E181</f>
        <v>14988</v>
      </c>
      <c r="G181" s="1"/>
      <c r="H181" s="4">
        <f>SUM(A!J181:J187)/7*1000000/A!H$3-SUM(A!F181:F187)/7*(1-A!N$3)</f>
        <v>7159.0044444444447</v>
      </c>
      <c r="I181" s="7">
        <f>SUM(A!F178:F184)/7</f>
        <v>15044</v>
      </c>
      <c r="J181" s="1">
        <v>236</v>
      </c>
      <c r="K181" s="1">
        <v>17</v>
      </c>
      <c r="L181" s="1"/>
      <c r="M181" s="4">
        <f>A!D181-A!D182</f>
        <v>7</v>
      </c>
      <c r="N181" s="11">
        <f>SUM(A!P181:P187)/7*A!N$3</f>
        <v>24.671428571428574</v>
      </c>
      <c r="O181" s="4">
        <f>(SUM(A!M166:M172)/A!O$3*1000-SUM(A!P178:P184))/7+A!N180</f>
        <v>492.75581427000986</v>
      </c>
      <c r="P181" s="4">
        <f t="shared" si="37"/>
        <v>1427</v>
      </c>
      <c r="Q181" s="1">
        <f>SUM(A!P178:P184)/7</f>
        <v>1365.8571428571429</v>
      </c>
      <c r="S181" s="4"/>
      <c r="T181" s="8"/>
      <c r="U181" s="8"/>
      <c r="V181" s="8"/>
      <c r="W181" s="8"/>
      <c r="Z181" s="10">
        <f t="shared" si="38"/>
        <v>44062</v>
      </c>
      <c r="AA181" s="1">
        <f>AI181*AI$3*2</f>
        <v>2016208</v>
      </c>
      <c r="AB181" s="1">
        <f t="shared" si="41"/>
        <v>15044</v>
      </c>
      <c r="AC181" s="1">
        <f t="shared" si="42"/>
        <v>9454.6878279216162</v>
      </c>
      <c r="AD181" s="1">
        <f t="shared" si="43"/>
        <v>7487.5969699946863</v>
      </c>
      <c r="AF181" s="10">
        <f t="shared" si="39"/>
        <v>44062</v>
      </c>
      <c r="AG181" s="6">
        <f t="shared" si="44"/>
        <v>0.35935170382749609</v>
      </c>
      <c r="AH181" s="6">
        <f t="shared" si="40"/>
        <v>0.30758333947846561</v>
      </c>
      <c r="AI181" s="6">
        <f>V$29/V$57*AI$4</f>
        <v>1.1829181840659455</v>
      </c>
      <c r="AJ181" s="1"/>
    </row>
    <row r="182" spans="2:36" ht="15.6">
      <c r="B182" s="2">
        <f t="shared" si="36"/>
        <v>44063</v>
      </c>
      <c r="C182" s="1">
        <v>228621</v>
      </c>
      <c r="D182" s="1">
        <v>9253</v>
      </c>
      <c r="E182" s="1">
        <v>204800</v>
      </c>
      <c r="F182" s="1">
        <f>+A!C182-A!D182-A!E182</f>
        <v>14568</v>
      </c>
      <c r="G182" s="1"/>
      <c r="H182" s="4">
        <f>SUM(A!J182:J188)/7*1000000/A!H$3-SUM(A!F182:F188)/7*(1-A!N$3)</f>
        <v>7502.8139682539677</v>
      </c>
      <c r="I182" s="7">
        <f>SUM(A!F179:F185)/7</f>
        <v>14555.285714285714</v>
      </c>
      <c r="J182" s="1">
        <v>231</v>
      </c>
      <c r="K182" s="1">
        <v>34</v>
      </c>
      <c r="L182" s="1"/>
      <c r="M182" s="4">
        <f>A!D182-A!D183</f>
        <v>10</v>
      </c>
      <c r="N182" s="11">
        <f>SUM(A!P182:P188)/7*A!N$3</f>
        <v>24.734285714285715</v>
      </c>
      <c r="O182" s="4">
        <f>(SUM(A!M167:M173)/A!O$3*1000-SUM(A!P179:P185))/7+A!N181</f>
        <v>460.06801549494844</v>
      </c>
      <c r="P182" s="4">
        <f t="shared" si="37"/>
        <v>1707</v>
      </c>
      <c r="Q182" s="1">
        <f>SUM(A!P179:P185)/7</f>
        <v>1344.4285714285713</v>
      </c>
      <c r="S182" s="4"/>
      <c r="T182" s="8"/>
      <c r="U182" s="8"/>
      <c r="V182" s="8"/>
      <c r="W182" s="8"/>
      <c r="Z182" s="10">
        <f t="shared" si="38"/>
        <v>44061</v>
      </c>
      <c r="AA182" s="1">
        <f>AI182*AI$3*2</f>
        <v>2016208</v>
      </c>
      <c r="AB182" s="1">
        <f t="shared" si="41"/>
        <v>14555.285714285714</v>
      </c>
      <c r="AC182" s="1">
        <f t="shared" si="42"/>
        <v>10021.701309042082</v>
      </c>
      <c r="AD182" s="1">
        <f t="shared" si="43"/>
        <v>6885.7697630863495</v>
      </c>
      <c r="AF182" s="10">
        <f t="shared" si="39"/>
        <v>44061</v>
      </c>
      <c r="AG182" s="6">
        <f t="shared" si="44"/>
        <v>0.3792796514714375</v>
      </c>
      <c r="AH182" s="6">
        <f t="shared" si="40"/>
        <v>0.29569087297349478</v>
      </c>
      <c r="AI182" s="6">
        <f>V$29/V$57*AI$4</f>
        <v>1.1829181840659455</v>
      </c>
      <c r="AJ182" s="1"/>
    </row>
    <row r="183" spans="2:36" ht="15.6">
      <c r="B183" s="2">
        <f t="shared" si="36"/>
        <v>44062</v>
      </c>
      <c r="C183" s="1">
        <v>226914</v>
      </c>
      <c r="D183" s="1">
        <v>9243</v>
      </c>
      <c r="E183" s="1">
        <v>203900</v>
      </c>
      <c r="F183" s="1">
        <f>+A!C183-A!D183-A!E183</f>
        <v>13771</v>
      </c>
      <c r="G183" s="1"/>
      <c r="H183" s="4">
        <f>SUM(A!J183:J189)/7*1000000/A!H$3-SUM(A!F183:F189)/7*(1-A!N$3)</f>
        <v>7878.0250793650794</v>
      </c>
      <c r="I183" s="7">
        <f>SUM(A!F180:F186)/7</f>
        <v>14044.857142857143</v>
      </c>
      <c r="J183" s="1">
        <v>228</v>
      </c>
      <c r="K183" s="1">
        <v>-7</v>
      </c>
      <c r="L183" s="1"/>
      <c r="M183" s="4">
        <f>A!D183-A!D184</f>
        <v>7</v>
      </c>
      <c r="N183" s="11">
        <f>SUM(A!P183:P189)/7*A!N$3</f>
        <v>23.985714285714284</v>
      </c>
      <c r="O183" s="4">
        <f>(SUM(A!M168:M174)/A!O$3*1000-SUM(A!P180:P186))/7+A!N182</f>
        <v>587.25504161649985</v>
      </c>
      <c r="P183" s="4">
        <f t="shared" si="37"/>
        <v>1510</v>
      </c>
      <c r="Q183" s="1">
        <f>SUM(A!P180:P186)/7</f>
        <v>1322</v>
      </c>
      <c r="S183" s="4"/>
      <c r="T183" s="8"/>
      <c r="U183" s="8"/>
      <c r="V183" s="8"/>
      <c r="W183" s="8"/>
      <c r="Z183" s="10">
        <f t="shared" si="38"/>
        <v>44060</v>
      </c>
      <c r="AA183" s="1">
        <f>AI183*AI$3*2</f>
        <v>2016208</v>
      </c>
      <c r="AB183" s="1">
        <f t="shared" si="41"/>
        <v>14044.857142857143</v>
      </c>
      <c r="AC183" s="1">
        <f t="shared" si="42"/>
        <v>10660.615744900035</v>
      </c>
      <c r="AD183" s="1">
        <f t="shared" si="43"/>
        <v>1221.2965002190688</v>
      </c>
      <c r="AF183" s="10">
        <f t="shared" si="39"/>
        <v>44060</v>
      </c>
      <c r="AG183" s="6">
        <f t="shared" si="44"/>
        <v>0.4017777240536502</v>
      </c>
      <c r="AH183" s="6">
        <f t="shared" si="40"/>
        <v>7.1444677480785326E-2</v>
      </c>
      <c r="AI183" s="6">
        <f>V$29/V$57*AI$4</f>
        <v>1.1829181840659455</v>
      </c>
      <c r="AJ183" s="1" t="str">
        <f>AJ176</f>
        <v>x</v>
      </c>
    </row>
    <row r="184" spans="2:36" ht="15.6">
      <c r="B184" s="2">
        <f t="shared" si="36"/>
        <v>44061</v>
      </c>
      <c r="C184" s="1">
        <v>225404</v>
      </c>
      <c r="D184" s="1">
        <v>9236</v>
      </c>
      <c r="E184" s="1">
        <v>203000</v>
      </c>
      <c r="F184" s="1">
        <f>+A!C184-A!D184-A!E184</f>
        <v>13168</v>
      </c>
      <c r="G184" s="1"/>
      <c r="H184" s="4">
        <f>SUM(A!J184:J190)/7*1000000/A!H$3-SUM(A!F184:F190)/7*(1-A!N$3)</f>
        <v>8283.4914285714312</v>
      </c>
      <c r="I184" s="7">
        <f>SUM(A!F181:F187)/7</f>
        <v>13556.571428571429</v>
      </c>
      <c r="J184" s="1">
        <v>227</v>
      </c>
      <c r="K184" s="1">
        <v>22</v>
      </c>
      <c r="L184" s="1"/>
      <c r="M184" s="4">
        <f>A!D184-A!D185</f>
        <v>4</v>
      </c>
      <c r="N184" s="11">
        <f>SUM(A!P184:P190)/7*A!N$3</f>
        <v>23.174285714285716</v>
      </c>
      <c r="O184" s="4">
        <f>(SUM(A!M169:M175)/A!O$3*1000-SUM(A!P181:P187))/7+A!N183</f>
        <v>517.89164529131529</v>
      </c>
      <c r="P184" s="4">
        <f t="shared" si="37"/>
        <v>1390</v>
      </c>
      <c r="Q184" s="1">
        <f>SUM(A!P181:P187)/7</f>
        <v>1233.5714285714287</v>
      </c>
      <c r="S184" s="4"/>
      <c r="T184" s="8"/>
      <c r="U184" s="8"/>
      <c r="V184" s="8"/>
      <c r="W184" s="8"/>
      <c r="Z184" s="10">
        <f t="shared" si="38"/>
        <v>44059</v>
      </c>
      <c r="AA184" s="1">
        <f>AI184*AI$3*2</f>
        <v>1754328.0000000002</v>
      </c>
      <c r="AB184" s="1">
        <f t="shared" si="41"/>
        <v>13556.571428571429</v>
      </c>
      <c r="AC184" s="1">
        <f t="shared" si="42"/>
        <v>11168.15043200171</v>
      </c>
      <c r="AD184" s="1">
        <f t="shared" si="43"/>
        <v>2339.0969586966503</v>
      </c>
      <c r="AF184" s="10">
        <f t="shared" si="39"/>
        <v>44059</v>
      </c>
      <c r="AG184" s="6">
        <f t="shared" si="44"/>
        <v>0.42243925313592789</v>
      </c>
      <c r="AH184" s="6">
        <f t="shared" si="40"/>
        <v>0.13284104391811574</v>
      </c>
      <c r="AI184" s="6">
        <f>V$30/V$57*AI$4</f>
        <v>1.0292720255132617</v>
      </c>
      <c r="AJ184" s="1"/>
    </row>
    <row r="185" spans="2:36" ht="15.6">
      <c r="B185" s="2">
        <f t="shared" si="36"/>
        <v>44060</v>
      </c>
      <c r="C185" s="1">
        <v>224014</v>
      </c>
      <c r="D185" s="1">
        <v>9232</v>
      </c>
      <c r="E185" s="1">
        <v>202100</v>
      </c>
      <c r="F185" s="1">
        <f>+A!C185-A!D185-A!E185</f>
        <v>12682</v>
      </c>
      <c r="G185" s="1"/>
      <c r="H185" s="4">
        <f>SUM(A!J185:J191)/7*1000000/A!H$3-SUM(A!F185:F191)/7*(1-A!N$3)</f>
        <v>8817.0203174603193</v>
      </c>
      <c r="I185" s="7">
        <f>SUM(A!F182:F188)/7</f>
        <v>13128</v>
      </c>
      <c r="J185" s="1">
        <v>228</v>
      </c>
      <c r="K185" s="1">
        <v>-3</v>
      </c>
      <c r="L185" s="1"/>
      <c r="M185" s="4">
        <f>A!D185-A!D186</f>
        <v>1</v>
      </c>
      <c r="N185" s="11">
        <f>SUM(A!P185:P191)/7*A!N$3</f>
        <v>21.962857142857143</v>
      </c>
      <c r="O185" s="4">
        <f>(SUM(A!M170:M176)/A!O$3*1000-SUM(A!P182:P188))/7+A!N184</f>
        <v>95.154969376537693</v>
      </c>
      <c r="P185" s="4">
        <f t="shared" si="37"/>
        <v>561</v>
      </c>
      <c r="Q185" s="1">
        <f>SUM(A!P182:P188)/7</f>
        <v>1236.7142857142858</v>
      </c>
      <c r="S185" s="4"/>
      <c r="T185" s="8"/>
      <c r="U185" s="8"/>
      <c r="V185" s="8"/>
      <c r="W185" s="8"/>
      <c r="Z185" s="10">
        <f t="shared" si="38"/>
        <v>44058</v>
      </c>
      <c r="AA185" s="1">
        <f>AI185*AI$3*2</f>
        <v>1754328.0000000002</v>
      </c>
      <c r="AB185" s="1">
        <f t="shared" si="41"/>
        <v>13128</v>
      </c>
      <c r="AC185" s="1">
        <f t="shared" si="42"/>
        <v>11793.996381204652</v>
      </c>
      <c r="AD185" s="1">
        <f t="shared" si="43"/>
        <v>2847.8101908252479</v>
      </c>
      <c r="AF185" s="10">
        <f t="shared" si="39"/>
        <v>44058</v>
      </c>
      <c r="AG185" s="6">
        <f t="shared" si="44"/>
        <v>0.44456044160879971</v>
      </c>
      <c r="AH185" s="6">
        <f t="shared" si="40"/>
        <v>0.16196032438286817</v>
      </c>
      <c r="AI185" s="6">
        <f>V$30/V$57*AI$4</f>
        <v>1.0292720255132617</v>
      </c>
      <c r="AJ185" s="1"/>
    </row>
    <row r="186" spans="2:36" ht="15.6">
      <c r="B186" s="2">
        <f t="shared" si="36"/>
        <v>44059</v>
      </c>
      <c r="C186" s="1">
        <v>223453</v>
      </c>
      <c r="D186" s="1">
        <v>9231</v>
      </c>
      <c r="E186" s="1">
        <v>201300</v>
      </c>
      <c r="F186" s="1">
        <f>+A!C186-A!D186-A!E186</f>
        <v>12922</v>
      </c>
      <c r="G186" s="1"/>
      <c r="H186" s="4">
        <f>SUM(A!J186:J192)/7*1000000/A!H$3-SUM(A!F186:F192)/7*(1-A!N$3)</f>
        <v>9255.6971428571451</v>
      </c>
      <c r="I186" s="7">
        <f>SUM(A!F183:F189)/7</f>
        <v>12654.428571428571</v>
      </c>
      <c r="J186" s="1">
        <v>230</v>
      </c>
      <c r="K186" s="1">
        <v>0</v>
      </c>
      <c r="L186" s="1"/>
      <c r="M186" s="4">
        <f>A!D186-A!D187</f>
        <v>0</v>
      </c>
      <c r="N186" s="11">
        <f>SUM(A!P186:P192)/7*A!N$3</f>
        <v>21.605714285714285</v>
      </c>
      <c r="O186" s="4">
        <f>(SUM(A!M171:M177)/A!O$3*1000-SUM(A!P183:P189))/7+A!N185</f>
        <v>183.71991100874197</v>
      </c>
      <c r="P186" s="4">
        <f t="shared" si="37"/>
        <v>625</v>
      </c>
      <c r="Q186" s="1">
        <f>SUM(A!P183:P189)/7</f>
        <v>1199.2857142857142</v>
      </c>
      <c r="S186" s="4"/>
      <c r="T186" s="8"/>
      <c r="U186" s="8"/>
      <c r="V186" s="8"/>
      <c r="W186" s="8"/>
      <c r="Z186" s="10">
        <f t="shared" si="38"/>
        <v>44057</v>
      </c>
      <c r="AA186" s="1">
        <f>AI186*AI$3*2</f>
        <v>1754328.0000000002</v>
      </c>
      <c r="AB186" s="1">
        <f t="shared" si="41"/>
        <v>12654.428571428571</v>
      </c>
      <c r="AC186" s="1">
        <f t="shared" si="42"/>
        <v>12284.399976800891</v>
      </c>
      <c r="AD186" s="1">
        <f t="shared" si="43"/>
        <v>965.72077939832116</v>
      </c>
      <c r="AF186" s="10">
        <f t="shared" si="39"/>
        <v>44057</v>
      </c>
      <c r="AG186" s="6">
        <f t="shared" si="44"/>
        <v>0.46460468130141669</v>
      </c>
      <c r="AH186" s="6">
        <f t="shared" si="40"/>
        <v>6.3862550450773034E-2</v>
      </c>
      <c r="AI186" s="6">
        <f>V$30/V$57*AI$4</f>
        <v>1.0292720255132617</v>
      </c>
      <c r="AJ186" s="1"/>
    </row>
    <row r="187" spans="2:36" ht="15.6">
      <c r="B187" s="2">
        <f t="shared" si="36"/>
        <v>44058</v>
      </c>
      <c r="C187" s="1">
        <v>222828</v>
      </c>
      <c r="D187" s="1">
        <v>9231</v>
      </c>
      <c r="E187" s="1">
        <v>200800</v>
      </c>
      <c r="F187" s="1">
        <f>+A!C187-A!D187-A!E187</f>
        <v>12797</v>
      </c>
      <c r="G187" s="1"/>
      <c r="H187" s="4">
        <f>SUM(A!J187:J193)/7*1000000/A!H$3-SUM(A!F187:F193)/7*(1-A!N$3)</f>
        <v>9755.6676190476228</v>
      </c>
      <c r="I187" s="7">
        <f>SUM(A!F184:F190)/7</f>
        <v>12188.857142857143</v>
      </c>
      <c r="J187" s="1">
        <v>230</v>
      </c>
      <c r="K187" s="1">
        <v>0</v>
      </c>
      <c r="L187" s="1"/>
      <c r="M187" s="4">
        <f>A!D187-A!D188</f>
        <v>6</v>
      </c>
      <c r="N187" s="11">
        <f>SUM(A!P187:P193)/7*A!N$3</f>
        <v>21.405714285714286</v>
      </c>
      <c r="O187" s="4">
        <f>(SUM(A!M172:M178)/A!O$3*1000-SUM(A!P184:P190))/7+A!N186</f>
        <v>223.9341967230277</v>
      </c>
      <c r="P187" s="4">
        <f t="shared" si="37"/>
        <v>1415</v>
      </c>
      <c r="Q187" s="1">
        <f>SUM(A!P184:P190)/7</f>
        <v>1158.7142857142858</v>
      </c>
      <c r="S187" s="4"/>
      <c r="T187" s="8"/>
      <c r="U187" s="8"/>
      <c r="V187" s="8"/>
      <c r="W187" s="8"/>
      <c r="Z187" s="10">
        <f t="shared" si="38"/>
        <v>44056</v>
      </c>
      <c r="AA187" s="1">
        <f>AI187*AI$3*2</f>
        <v>1754328.0000000002</v>
      </c>
      <c r="AB187" s="1">
        <f t="shared" si="41"/>
        <v>12188.857142857143</v>
      </c>
      <c r="AC187" s="1">
        <f t="shared" si="42"/>
        <v>12737.764716037895</v>
      </c>
      <c r="AD187" s="1">
        <f t="shared" si="43"/>
        <v>5117.628515499634</v>
      </c>
      <c r="AF187" s="10">
        <f t="shared" si="39"/>
        <v>44056</v>
      </c>
      <c r="AG187" s="6">
        <f t="shared" si="44"/>
        <v>0.48333233442482582</v>
      </c>
      <c r="AH187" s="6">
        <f t="shared" si="40"/>
        <v>0.27317454605204905</v>
      </c>
      <c r="AI187" s="6">
        <f>V$30/V$57*AI$4</f>
        <v>1.0292720255132617</v>
      </c>
      <c r="AJ187" s="1"/>
    </row>
    <row r="188" spans="2:36" ht="15.6">
      <c r="B188" s="2">
        <f t="shared" si="36"/>
        <v>44057</v>
      </c>
      <c r="C188" s="1">
        <v>221413</v>
      </c>
      <c r="D188" s="1">
        <v>9225</v>
      </c>
      <c r="E188" s="1">
        <v>200200</v>
      </c>
      <c r="F188" s="1">
        <f>+A!C188-A!D188-A!E188</f>
        <v>11988</v>
      </c>
      <c r="G188" s="1"/>
      <c r="H188" s="4">
        <f>SUM(A!J188:J194)/7*1000000/A!H$3-SUM(A!F188:F194)/7*(1-A!N$3)</f>
        <v>10183.507619047623</v>
      </c>
      <c r="I188" s="7">
        <f>SUM(A!F185:F191)/7</f>
        <v>11735.142857142857</v>
      </c>
      <c r="J188" s="1">
        <v>230</v>
      </c>
      <c r="K188" s="1">
        <v>-19</v>
      </c>
      <c r="L188" s="1"/>
      <c r="M188" s="4">
        <f>A!D188-A!D189</f>
        <v>14</v>
      </c>
      <c r="N188" s="11">
        <f>SUM(A!P188:P194)/7*A!N$3</f>
        <v>20.568571428571428</v>
      </c>
      <c r="O188" s="4">
        <f>(SUM(A!M173:M179)/A!O$3*1000-SUM(A!P185:P191))/7+A!N187</f>
        <v>74.914430194210425</v>
      </c>
      <c r="P188" s="4">
        <f t="shared" si="37"/>
        <v>1449</v>
      </c>
      <c r="Q188" s="1">
        <f>SUM(A!P185:P191)/7</f>
        <v>1098.1428571428571</v>
      </c>
      <c r="S188" s="4"/>
      <c r="T188" s="8"/>
      <c r="U188" s="8"/>
      <c r="V188" s="8"/>
      <c r="W188" s="8"/>
      <c r="Z188" s="10">
        <f t="shared" si="38"/>
        <v>44055</v>
      </c>
      <c r="AA188" s="1">
        <f>AI188*AI$3*2</f>
        <v>1754328.0000000002</v>
      </c>
      <c r="AB188" s="1">
        <f t="shared" si="41"/>
        <v>11735.142857142857</v>
      </c>
      <c r="AC188" s="1">
        <f t="shared" si="42"/>
        <v>13382.565703107271</v>
      </c>
      <c r="AD188" s="1">
        <f t="shared" si="43"/>
        <v>7658.9849770744304</v>
      </c>
      <c r="AF188" s="10">
        <f t="shared" si="39"/>
        <v>44055</v>
      </c>
      <c r="AG188" s="6">
        <f t="shared" si="44"/>
        <v>0.5048556223820575</v>
      </c>
      <c r="AH188" s="6">
        <f t="shared" si="40"/>
        <v>0.36850162961687061</v>
      </c>
      <c r="AI188" s="6">
        <f>V$30/V$57*AI$4</f>
        <v>1.0292720255132617</v>
      </c>
      <c r="AJ188" s="1"/>
    </row>
    <row r="189" spans="2:36" ht="15.6">
      <c r="B189" s="2">
        <f t="shared" si="36"/>
        <v>44056</v>
      </c>
      <c r="C189" s="1">
        <v>219964</v>
      </c>
      <c r="D189" s="1">
        <v>9211</v>
      </c>
      <c r="E189" s="1">
        <v>199500</v>
      </c>
      <c r="F189" s="1">
        <f>+A!C189-A!D189-A!E189</f>
        <v>11253</v>
      </c>
      <c r="G189" s="1"/>
      <c r="H189" s="4">
        <f>SUM(A!J189:J195)/7*1000000/A!H$3-SUM(A!F189:F195)/7*(1-A!N$3)</f>
        <v>10583.487619047623</v>
      </c>
      <c r="I189" s="7">
        <f>SUM(A!F186:F192)/7</f>
        <v>11313.428571428571</v>
      </c>
      <c r="J189" s="1">
        <v>224</v>
      </c>
      <c r="K189" s="1">
        <v>2</v>
      </c>
      <c r="L189" s="1"/>
      <c r="M189" s="4">
        <f>A!D189-A!D190</f>
        <v>4</v>
      </c>
      <c r="N189" s="11">
        <f>SUM(A!P189:P195)/7*A!N$3</f>
        <v>19.705714285714286</v>
      </c>
      <c r="O189" s="4">
        <f>(SUM(A!M174:M180)/A!O$3*1000-SUM(A!P186:P192))/7+A!N188</f>
        <v>406.02122284457937</v>
      </c>
      <c r="P189" s="4">
        <f t="shared" si="37"/>
        <v>1445</v>
      </c>
      <c r="Q189" s="1">
        <f>SUM(A!P186:P192)/7</f>
        <v>1080.2857142857142</v>
      </c>
      <c r="S189" s="4"/>
      <c r="T189" s="8"/>
      <c r="U189" s="8"/>
      <c r="V189" s="8"/>
      <c r="W189" s="8"/>
      <c r="Z189" s="10">
        <f t="shared" si="38"/>
        <v>44054</v>
      </c>
      <c r="AA189" s="1">
        <f>AI189*AI$3*2</f>
        <v>1754328.0000000002</v>
      </c>
      <c r="AB189" s="1">
        <f t="shared" si="41"/>
        <v>11313.428571428571</v>
      </c>
      <c r="AC189" s="1">
        <f t="shared" si="42"/>
        <v>14136.339445956608</v>
      </c>
      <c r="AD189" s="1">
        <f t="shared" si="43"/>
        <v>11471.83720622918</v>
      </c>
      <c r="AF189" s="10">
        <f t="shared" si="39"/>
        <v>44054</v>
      </c>
      <c r="AG189" s="6">
        <f t="shared" si="44"/>
        <v>0.5262316501787111</v>
      </c>
      <c r="AH189" s="6">
        <f t="shared" si="40"/>
        <v>0.47406563829753517</v>
      </c>
      <c r="AI189" s="6">
        <f>V$30/V$57*AI$4</f>
        <v>1.0292720255132617</v>
      </c>
      <c r="AJ189" s="1"/>
    </row>
    <row r="190" spans="2:36" ht="15.6">
      <c r="B190" s="2">
        <f t="shared" si="36"/>
        <v>44055</v>
      </c>
      <c r="C190" s="1">
        <v>218519</v>
      </c>
      <c r="D190" s="1">
        <v>9207</v>
      </c>
      <c r="E190" s="1">
        <v>198800</v>
      </c>
      <c r="F190" s="1">
        <f>+A!C190-A!D190-A!E190</f>
        <v>10512</v>
      </c>
      <c r="G190" s="1"/>
      <c r="H190" s="4">
        <f>SUM(A!J190:J196)/7*1000000/A!H$3-SUM(A!F190:F196)/7*(1-A!N$3)</f>
        <v>11094.40857142857</v>
      </c>
      <c r="I190" s="7">
        <f>SUM(A!F187:F193)/7</f>
        <v>10881</v>
      </c>
      <c r="J190" s="1">
        <v>224</v>
      </c>
      <c r="K190" s="1">
        <v>-3</v>
      </c>
      <c r="L190" s="1"/>
      <c r="M190" s="4">
        <f>A!D190-A!D191</f>
        <v>6</v>
      </c>
      <c r="N190" s="11">
        <f>SUM(A!P190:P196)/7*A!N$3</f>
        <v>18.562857142857144</v>
      </c>
      <c r="O190" s="4">
        <f>(SUM(A!M175:M181)/A!O$3*1000-SUM(A!P187:P193))/7+A!N189</f>
        <v>624.54956080196814</v>
      </c>
      <c r="P190" s="4">
        <f t="shared" si="37"/>
        <v>1226</v>
      </c>
      <c r="Q190" s="1">
        <f>SUM(A!P187:P193)/7</f>
        <v>1070.2857142857142</v>
      </c>
      <c r="S190" s="4"/>
      <c r="T190" s="8"/>
      <c r="U190" s="8"/>
      <c r="V190" s="8"/>
      <c r="W190" s="8"/>
      <c r="Z190" s="10">
        <f t="shared" si="38"/>
        <v>44053</v>
      </c>
      <c r="AA190" s="1">
        <f>AI190*AI$3*2</f>
        <v>1754328.0000000002</v>
      </c>
      <c r="AB190" s="1">
        <f t="shared" si="41"/>
        <v>10881</v>
      </c>
      <c r="AC190" s="1">
        <f t="shared" si="42"/>
        <v>14350.283225791582</v>
      </c>
      <c r="AD190" s="1">
        <f t="shared" si="43"/>
        <v>14674.874790430853</v>
      </c>
      <c r="AF190" s="10">
        <f t="shared" si="39"/>
        <v>44053</v>
      </c>
      <c r="AG190" s="6">
        <f t="shared" si="44"/>
        <v>0.53902120610645432</v>
      </c>
      <c r="AH190" s="6">
        <f t="shared" si="40"/>
        <v>0.54457385947328496</v>
      </c>
      <c r="AI190" s="6">
        <f>V$30/V$57*AI$4</f>
        <v>1.0292720255132617</v>
      </c>
      <c r="AJ190" s="1" t="str">
        <f>AJ183</f>
        <v>x</v>
      </c>
    </row>
    <row r="191" spans="2:36" ht="15.6">
      <c r="B191" s="2">
        <f t="shared" si="36"/>
        <v>44054</v>
      </c>
      <c r="C191" s="1">
        <v>217293</v>
      </c>
      <c r="D191" s="1">
        <v>9201</v>
      </c>
      <c r="E191" s="1">
        <v>198100</v>
      </c>
      <c r="F191" s="1">
        <f>+A!C191-A!D191-A!E191</f>
        <v>9992</v>
      </c>
      <c r="G191" s="1"/>
      <c r="H191" s="4">
        <f>SUM(A!J191:J197)/7*1000000/A!H$3-SUM(A!F191:F197)/7*(1-A!N$3)</f>
        <v>11601.004761904764</v>
      </c>
      <c r="I191" s="7">
        <f>SUM(A!F188:F194)/7</f>
        <v>10444.428571428571</v>
      </c>
      <c r="J191" s="1">
        <v>234</v>
      </c>
      <c r="K191" s="1">
        <v>37</v>
      </c>
      <c r="L191" s="1"/>
      <c r="M191" s="4">
        <f>A!D191-A!D192</f>
        <v>4</v>
      </c>
      <c r="N191" s="11">
        <f>SUM(A!P191:P197)/7*A!N$3</f>
        <v>17.177142857142858</v>
      </c>
      <c r="O191" s="4">
        <f>(SUM(A!M176:M182)/A!O$3*1000-SUM(A!P188:P194))/7+A!N190</f>
        <v>927.00284039156156</v>
      </c>
      <c r="P191" s="4">
        <f t="shared" si="37"/>
        <v>966</v>
      </c>
      <c r="Q191" s="1">
        <f>SUM(A!P188:P194)/7</f>
        <v>1028.4285714285713</v>
      </c>
      <c r="S191" s="4"/>
      <c r="T191" s="8"/>
      <c r="U191" s="8"/>
      <c r="V191" s="8"/>
      <c r="W191" s="8"/>
      <c r="Z191" s="10">
        <f t="shared" si="38"/>
        <v>44052</v>
      </c>
      <c r="AA191" s="1">
        <f>AI191*AI$3*2</f>
        <v>1433536.0000000002</v>
      </c>
      <c r="AB191" s="1">
        <f t="shared" si="41"/>
        <v>10444.428571428571</v>
      </c>
      <c r="AC191" s="1">
        <f t="shared" si="42"/>
        <v>15210.848391751844</v>
      </c>
      <c r="AD191" s="1">
        <f t="shared" si="43"/>
        <v>14971.128426755427</v>
      </c>
      <c r="AF191" s="10">
        <f t="shared" si="39"/>
        <v>44052</v>
      </c>
      <c r="AG191" s="6">
        <f t="shared" si="44"/>
        <v>0.56420677044210366</v>
      </c>
      <c r="AH191" s="6">
        <f t="shared" si="40"/>
        <v>0.56029702515189284</v>
      </c>
      <c r="AI191" s="6">
        <f>V$31/V$57*AI$4</f>
        <v>0.84106193503505566</v>
      </c>
      <c r="AJ191" s="1"/>
    </row>
    <row r="192" spans="2:36" ht="15.6">
      <c r="B192" s="2">
        <f t="shared" si="36"/>
        <v>44053</v>
      </c>
      <c r="C192" s="1">
        <v>216327</v>
      </c>
      <c r="D192" s="1">
        <v>9197</v>
      </c>
      <c r="E192" s="1">
        <v>197400</v>
      </c>
      <c r="F192" s="1">
        <f>+A!C192-A!D192-A!E192</f>
        <v>9730</v>
      </c>
      <c r="G192" s="1"/>
      <c r="H192" s="4">
        <f>SUM(A!J192:J198)/7*1000000/A!H$3-SUM(A!F192:F198)/7*(1-A!N$3)</f>
        <v>11735.400634920632</v>
      </c>
      <c r="I192" s="7">
        <f>SUM(A!F189:F195)/7</f>
        <v>10036.285714285714</v>
      </c>
      <c r="J192" s="1">
        <v>230</v>
      </c>
      <c r="K192" s="1">
        <v>-6</v>
      </c>
      <c r="L192" s="1"/>
      <c r="M192" s="4">
        <f>A!D192-A!D193</f>
        <v>1</v>
      </c>
      <c r="N192" s="11">
        <f>SUM(A!P192:P198)/7*A!N$3</f>
        <v>16.928571428571431</v>
      </c>
      <c r="O192" s="4">
        <f>(SUM(A!M177:M183)/A!O$3*1000-SUM(A!P189:P195))/7+A!N191</f>
        <v>1178.1511783489502</v>
      </c>
      <c r="P192" s="4">
        <f t="shared" si="37"/>
        <v>436</v>
      </c>
      <c r="Q192" s="1">
        <f>SUM(A!P189:P195)/7</f>
        <v>985.28571428571433</v>
      </c>
      <c r="S192" s="4"/>
      <c r="T192" s="8"/>
      <c r="U192" s="8"/>
      <c r="V192" s="8"/>
      <c r="W192" s="8"/>
      <c r="Z192" s="10">
        <f t="shared" si="38"/>
        <v>44051</v>
      </c>
      <c r="AA192" s="1">
        <f>AI192*AI$3*2</f>
        <v>1433536.0000000002</v>
      </c>
      <c r="AB192" s="1">
        <f t="shared" si="41"/>
        <v>10036.285714285714</v>
      </c>
      <c r="AC192" s="1">
        <f t="shared" si="42"/>
        <v>16001.709336593562</v>
      </c>
      <c r="AD192" s="1">
        <f t="shared" si="43"/>
        <v>15068.23804385366</v>
      </c>
      <c r="AF192" s="10">
        <f t="shared" si="39"/>
        <v>44051</v>
      </c>
      <c r="AG192" s="6">
        <f t="shared" si="44"/>
        <v>0.58657917278937211</v>
      </c>
      <c r="AH192" s="6">
        <f t="shared" si="40"/>
        <v>0.57193129504001217</v>
      </c>
      <c r="AI192" s="6">
        <f>V$31/V$57*AI$4</f>
        <v>0.84106193503505566</v>
      </c>
      <c r="AJ192" s="1"/>
    </row>
    <row r="193" spans="2:36" ht="15.6">
      <c r="B193" s="2">
        <f t="shared" si="36"/>
        <v>44052</v>
      </c>
      <c r="C193" s="1">
        <v>215891</v>
      </c>
      <c r="D193" s="1">
        <v>9196</v>
      </c>
      <c r="E193" s="1">
        <v>196800</v>
      </c>
      <c r="F193" s="1">
        <f>+A!C193-A!D193-A!E193</f>
        <v>9895</v>
      </c>
      <c r="G193" s="1"/>
      <c r="H193" s="4">
        <f>SUM(A!J193:J199)/7*1000000/A!H$3-SUM(A!F193:F199)/7*(1-A!N$3)</f>
        <v>12519.977142857146</v>
      </c>
      <c r="I193" s="7">
        <f>SUM(A!F190:F196)/7</f>
        <v>9670.4285714285706</v>
      </c>
      <c r="J193" s="1">
        <v>236</v>
      </c>
      <c r="K193" s="1">
        <v>-25</v>
      </c>
      <c r="L193" s="1"/>
      <c r="M193" s="4">
        <f>A!D193-A!D194</f>
        <v>1</v>
      </c>
      <c r="N193" s="11">
        <f>SUM(A!P193:P199)/7*A!N$3</f>
        <v>17.137142857142859</v>
      </c>
      <c r="O193" s="4">
        <f>(SUM(A!M178:M184)/A!O$3*1000-SUM(A!P190:P196))/7+A!N192</f>
        <v>1182.6976652881744</v>
      </c>
      <c r="P193" s="4">
        <f t="shared" si="37"/>
        <v>555</v>
      </c>
      <c r="Q193" s="1">
        <f>SUM(A!P190:P196)/7</f>
        <v>928.14285714285711</v>
      </c>
      <c r="S193" s="4"/>
      <c r="T193" s="8"/>
      <c r="U193" s="8"/>
      <c r="V193" s="8"/>
      <c r="W193" s="8"/>
      <c r="Z193" s="10">
        <f t="shared" si="38"/>
        <v>44050</v>
      </c>
      <c r="AA193" s="1">
        <f>AI193*AI$3*2</f>
        <v>1433536.0000000002</v>
      </c>
      <c r="AB193" s="1">
        <f t="shared" si="41"/>
        <v>9670.4285714285706</v>
      </c>
      <c r="AC193" s="1">
        <f t="shared" si="42"/>
        <v>16700.770681509919</v>
      </c>
      <c r="AD193" s="1">
        <f t="shared" si="43"/>
        <v>13514.455598783317</v>
      </c>
      <c r="AF193" s="10">
        <f t="shared" si="39"/>
        <v>44050</v>
      </c>
      <c r="AG193" s="6">
        <f t="shared" si="44"/>
        <v>0.60619104527920531</v>
      </c>
      <c r="AH193" s="6">
        <f t="shared" si="40"/>
        <v>0.55468891015471056</v>
      </c>
      <c r="AI193" s="6">
        <f>V$31/V$57*AI$4</f>
        <v>0.84106193503505566</v>
      </c>
      <c r="AJ193" s="1"/>
    </row>
    <row r="194" spans="2:36" ht="15.6">
      <c r="B194" s="2">
        <f t="shared" si="36"/>
        <v>44051</v>
      </c>
      <c r="C194" s="1">
        <v>215336</v>
      </c>
      <c r="D194" s="1">
        <v>9195</v>
      </c>
      <c r="E194" s="1">
        <v>196400</v>
      </c>
      <c r="F194" s="1">
        <f>+A!C194-A!D194-A!E194</f>
        <v>9741</v>
      </c>
      <c r="G194" s="1"/>
      <c r="H194" s="4">
        <f>SUM(A!J194:J200)/7*1000000/A!H$3-SUM(A!F194:F200)/7*(1-A!N$3)</f>
        <v>13263.14</v>
      </c>
      <c r="I194" s="7">
        <f>SUM(A!F191:F197)/7</f>
        <v>9347.8571428571431</v>
      </c>
      <c r="J194" s="1">
        <v>230</v>
      </c>
      <c r="K194" s="1">
        <v>0</v>
      </c>
      <c r="L194" s="1"/>
      <c r="M194" s="4">
        <f>A!D194-A!D195</f>
        <v>12</v>
      </c>
      <c r="N194" s="11">
        <f>SUM(A!P194:P200)/7*A!N$3</f>
        <v>16.237142857142857</v>
      </c>
      <c r="O194" s="4">
        <f>(SUM(A!M179:M185)/A!O$3*1000-SUM(A!P191:P197))/7+A!N193</f>
        <v>1147.4963534523372</v>
      </c>
      <c r="P194" s="4">
        <f t="shared" si="37"/>
        <v>1122</v>
      </c>
      <c r="Q194" s="1">
        <f>SUM(A!P191:P197)/7</f>
        <v>858.85714285714289</v>
      </c>
      <c r="S194" s="4"/>
      <c r="T194" s="8"/>
      <c r="U194" s="8"/>
      <c r="V194" s="8"/>
      <c r="W194" s="8"/>
      <c r="Z194" s="10">
        <f t="shared" si="38"/>
        <v>44049</v>
      </c>
      <c r="AA194" s="1">
        <f>AI194*AI$3*2</f>
        <v>1433536.0000000002</v>
      </c>
      <c r="AB194" s="1">
        <f t="shared" si="41"/>
        <v>9347.8571428571431</v>
      </c>
      <c r="AC194" s="1">
        <f t="shared" si="42"/>
        <v>17538.968519721173</v>
      </c>
      <c r="AD194" s="1">
        <f t="shared" si="43"/>
        <v>12154.641029960307</v>
      </c>
      <c r="AF194" s="10">
        <f t="shared" si="39"/>
        <v>44049</v>
      </c>
      <c r="AG194" s="6">
        <f t="shared" si="44"/>
        <v>0.62533001297280832</v>
      </c>
      <c r="AH194" s="6">
        <f t="shared" si="40"/>
        <v>0.5363158930888724</v>
      </c>
      <c r="AI194" s="6">
        <f>V$31/V$57*AI$4</f>
        <v>0.84106193503505566</v>
      </c>
      <c r="AJ194" s="1"/>
    </row>
    <row r="195" spans="2:36" ht="15.6">
      <c r="B195" s="2">
        <f t="shared" si="36"/>
        <v>44050</v>
      </c>
      <c r="C195" s="1">
        <v>214214</v>
      </c>
      <c r="D195" s="1">
        <v>9183</v>
      </c>
      <c r="E195" s="1">
        <v>195900</v>
      </c>
      <c r="F195" s="1">
        <f>+A!C195-A!D195-A!E195</f>
        <v>9131</v>
      </c>
      <c r="G195" s="1"/>
      <c r="H195" s="4">
        <f>SUM(A!J195:J201)/7*1000000/A!H$3-SUM(A!F195:F201)/7*(1-A!N$3)</f>
        <v>13978.624444444446</v>
      </c>
      <c r="I195" s="7">
        <f>SUM(A!F192:F198)/7</f>
        <v>9081.1428571428569</v>
      </c>
      <c r="J195" s="1">
        <v>230</v>
      </c>
      <c r="K195" s="1">
        <v>5</v>
      </c>
      <c r="L195" s="1"/>
      <c r="M195" s="4">
        <f>A!D195-A!D196</f>
        <v>8</v>
      </c>
      <c r="N195" s="11">
        <f>SUM(A!P195:P201)/7*A!N$3</f>
        <v>15.76</v>
      </c>
      <c r="O195" s="4">
        <f>(SUM(A!M180:M186)/A!O$3*1000-SUM(A!P192:P198))/7+A!N194</f>
        <v>1054.3293273307854</v>
      </c>
      <c r="P195" s="4">
        <f t="shared" si="37"/>
        <v>1147</v>
      </c>
      <c r="Q195" s="1">
        <f>SUM(A!P192:P198)/7</f>
        <v>846.42857142857144</v>
      </c>
      <c r="S195" s="4"/>
      <c r="T195" s="8"/>
      <c r="U195" s="8"/>
      <c r="V195" s="8"/>
      <c r="W195" s="8"/>
      <c r="Z195" s="10">
        <f t="shared" si="38"/>
        <v>44048</v>
      </c>
      <c r="AA195" s="1">
        <f>AI195*AI$3*2</f>
        <v>1433536.0000000002</v>
      </c>
      <c r="AB195" s="1">
        <f t="shared" si="41"/>
        <v>9081.1428571428569</v>
      </c>
      <c r="AC195" s="1">
        <f t="shared" si="42"/>
        <v>18346.531743062336</v>
      </c>
      <c r="AD195" s="1">
        <f t="shared" si="43"/>
        <v>17591.659490839127</v>
      </c>
      <c r="AF195" s="10">
        <f t="shared" si="39"/>
        <v>44048</v>
      </c>
      <c r="AG195" s="6">
        <f t="shared" si="44"/>
        <v>0.64293960795169891</v>
      </c>
      <c r="AH195" s="6">
        <f t="shared" si="40"/>
        <v>0.63323730522352462</v>
      </c>
      <c r="AI195" s="6">
        <f>V$31/V$57*AI$4</f>
        <v>0.84106193503505566</v>
      </c>
      <c r="AJ195" s="1"/>
    </row>
    <row r="196" spans="2:36" ht="15.6">
      <c r="B196" s="2">
        <f t="shared" si="36"/>
        <v>44049</v>
      </c>
      <c r="C196" s="1">
        <v>213067</v>
      </c>
      <c r="D196" s="1">
        <v>9175</v>
      </c>
      <c r="E196" s="1">
        <v>195200</v>
      </c>
      <c r="F196" s="1">
        <f>+A!C196-A!D196-A!E196</f>
        <v>8692</v>
      </c>
      <c r="G196" s="1"/>
      <c r="H196" s="4">
        <f>SUM(A!J196:J202)/7*1000000/A!H$3-SUM(A!F196:F202)/7*(1-A!N$3)</f>
        <v>14685.428888888891</v>
      </c>
      <c r="I196" s="7">
        <f>SUM(A!F193:F199)/7</f>
        <v>8798.8571428571431</v>
      </c>
      <c r="J196" s="1">
        <v>236</v>
      </c>
      <c r="K196" s="1">
        <v>47</v>
      </c>
      <c r="L196" s="1"/>
      <c r="M196" s="4">
        <f>A!D196-A!D197</f>
        <v>7</v>
      </c>
      <c r="N196" s="11">
        <f>SUM(A!P196:P202)/7*A!N$3</f>
        <v>14.96857142857143</v>
      </c>
      <c r="O196" s="4">
        <f>(SUM(A!M181:M187)/A!O$3*1000-SUM(A!P193:P199))/7+A!N195</f>
        <v>991.0758142700098</v>
      </c>
      <c r="P196" s="4">
        <f t="shared" si="37"/>
        <v>1045</v>
      </c>
      <c r="Q196" s="1">
        <f>SUM(A!P193:P199)/7</f>
        <v>856.85714285714289</v>
      </c>
      <c r="S196" s="4"/>
      <c r="T196" s="8"/>
      <c r="U196" s="8"/>
      <c r="V196" s="8"/>
      <c r="W196" s="8"/>
      <c r="Z196" s="10">
        <f t="shared" si="38"/>
        <v>44047</v>
      </c>
      <c r="AA196" s="1">
        <f>AI196*AI$3*2</f>
        <v>1433536.0000000002</v>
      </c>
      <c r="AB196" s="1">
        <f t="shared" si="41"/>
        <v>8798.8571428571431</v>
      </c>
      <c r="AC196" s="1">
        <f t="shared" si="42"/>
        <v>19096.776180971065</v>
      </c>
      <c r="AD196" s="1">
        <f t="shared" si="43"/>
        <v>13988.01523076022</v>
      </c>
      <c r="AF196" s="10">
        <f t="shared" si="39"/>
        <v>44047</v>
      </c>
      <c r="AG196" s="6">
        <f t="shared" si="44"/>
        <v>0.65811584290670999</v>
      </c>
      <c r="AH196" s="6">
        <f t="shared" si="40"/>
        <v>0.58506240582400226</v>
      </c>
      <c r="AI196" s="6">
        <f>V$31/V$57*AI$4</f>
        <v>0.84106193503505566</v>
      </c>
      <c r="AJ196" s="1"/>
    </row>
    <row r="197" spans="2:36" ht="15.6">
      <c r="B197" s="2">
        <f t="shared" si="36"/>
        <v>44048</v>
      </c>
      <c r="C197" s="1">
        <v>212022</v>
      </c>
      <c r="D197" s="1">
        <v>9168</v>
      </c>
      <c r="E197" s="1">
        <v>194600</v>
      </c>
      <c r="F197" s="1">
        <f>+A!C197-A!D197-A!E197</f>
        <v>8254</v>
      </c>
      <c r="G197" s="1"/>
      <c r="H197" s="4">
        <f>SUM(A!J197:J203)/7*1000000/A!H$3-SUM(A!F197:F203)/7*(1-A!N$3)</f>
        <v>15318.101269841269</v>
      </c>
      <c r="I197" s="7">
        <f>SUM(A!F194:F200)/7</f>
        <v>8507</v>
      </c>
      <c r="J197" s="1">
        <v>239</v>
      </c>
      <c r="K197" s="1">
        <v>250</v>
      </c>
      <c r="L197" s="1"/>
      <c r="M197" s="4">
        <f>A!D197-A!D198</f>
        <v>12</v>
      </c>
      <c r="N197" s="11">
        <f>SUM(A!P197:P203)/7*A!N$3</f>
        <v>14.56</v>
      </c>
      <c r="O197" s="4">
        <f>(SUM(A!M182:M188)/A!O$3*1000-SUM(A!P194:P200))/7+A!N196</f>
        <v>1401.7189771240119</v>
      </c>
      <c r="P197" s="4">
        <f t="shared" si="37"/>
        <v>741</v>
      </c>
      <c r="Q197" s="1">
        <f>SUM(A!P194:P200)/7</f>
        <v>811.85714285714289</v>
      </c>
      <c r="S197" s="4"/>
      <c r="T197" s="8"/>
      <c r="U197" s="8"/>
      <c r="V197" s="8"/>
      <c r="W197" s="8"/>
      <c r="Z197" s="10">
        <f t="shared" si="38"/>
        <v>44046</v>
      </c>
      <c r="AA197" s="1">
        <f>AI197*AI$3*2</f>
        <v>1433536.0000000002</v>
      </c>
      <c r="AB197" s="1">
        <f t="shared" si="41"/>
        <v>8507</v>
      </c>
      <c r="AC197" s="1">
        <f t="shared" si="42"/>
        <v>19971.837203155173</v>
      </c>
      <c r="AD197" s="1">
        <f t="shared" si="43"/>
        <v>14118.004297450319</v>
      </c>
      <c r="AF197" s="10">
        <f t="shared" si="39"/>
        <v>44046</v>
      </c>
      <c r="AG197" s="6">
        <f t="shared" si="44"/>
        <v>0.67486473842688632</v>
      </c>
      <c r="AH197" s="6">
        <f t="shared" si="40"/>
        <v>0.59469257547550636</v>
      </c>
      <c r="AI197" s="6">
        <f>V$31/V$57*AI$4</f>
        <v>0.84106193503505566</v>
      </c>
      <c r="AJ197" s="1" t="str">
        <f>AJ190</f>
        <v>x</v>
      </c>
    </row>
    <row r="198" spans="2:36" ht="15.6">
      <c r="B198" s="2">
        <f t="shared" si="36"/>
        <v>44047</v>
      </c>
      <c r="C198" s="1">
        <v>211281</v>
      </c>
      <c r="D198" s="1">
        <v>9156</v>
      </c>
      <c r="E198" s="1">
        <v>194000</v>
      </c>
      <c r="F198" s="1">
        <f>+A!C198-A!D198-A!E198</f>
        <v>8125</v>
      </c>
      <c r="G198" s="1"/>
      <c r="H198" s="4">
        <f>SUM(A!J198:J204)/7*1000000/A!H$3-SUM(A!F198:F204)/7*(1-A!N$3)</f>
        <v>15843.30634920635</v>
      </c>
      <c r="I198" s="7">
        <f>SUM(A!F195:F201)/7</f>
        <v>8230.4285714285706</v>
      </c>
      <c r="J198" s="1">
        <v>224</v>
      </c>
      <c r="K198" s="1">
        <v>-154</v>
      </c>
      <c r="L198" s="1"/>
      <c r="M198" s="4">
        <f>A!D198-A!D199</f>
        <v>8</v>
      </c>
      <c r="N198" s="11">
        <f>SUM(A!P198:P204)/7*A!N$3</f>
        <v>14.397142857142859</v>
      </c>
      <c r="O198" s="4">
        <f>(SUM(A!M183:M189)/A!O$3*1000-SUM(A!P195:P201))/7+A!N197</f>
        <v>1111.0807559022142</v>
      </c>
      <c r="P198" s="4">
        <f t="shared" si="37"/>
        <v>879</v>
      </c>
      <c r="Q198" s="1">
        <f>SUM(A!P195:P201)/7</f>
        <v>788</v>
      </c>
      <c r="S198" s="4"/>
      <c r="T198" s="8"/>
      <c r="U198" s="8"/>
      <c r="V198" s="8"/>
      <c r="W198" s="8"/>
      <c r="Z198" s="10">
        <f t="shared" si="38"/>
        <v>44045</v>
      </c>
      <c r="AA198" s="1">
        <f>AI198*AI$3*2</f>
        <v>1173240</v>
      </c>
      <c r="AB198" s="1">
        <f t="shared" si="41"/>
        <v>8230.4285714285706</v>
      </c>
      <c r="AC198" s="1">
        <f t="shared" si="42"/>
        <v>20018.995125538386</v>
      </c>
      <c r="AD198" s="1">
        <f t="shared" si="43"/>
        <v>14229.993729027492</v>
      </c>
      <c r="AF198" s="10">
        <f t="shared" si="39"/>
        <v>44045</v>
      </c>
      <c r="AG198" s="6">
        <f t="shared" si="44"/>
        <v>0.68356555368880978</v>
      </c>
      <c r="AH198" s="6">
        <f t="shared" si="40"/>
        <v>0.6056054394901379</v>
      </c>
      <c r="AI198" s="6">
        <f>V$32/V$57*AI$4</f>
        <v>0.68834511631415507</v>
      </c>
      <c r="AJ198" s="1"/>
    </row>
    <row r="199" spans="2:36" ht="15.6">
      <c r="B199" s="2">
        <f t="shared" si="36"/>
        <v>44046</v>
      </c>
      <c r="C199" s="1">
        <v>210402</v>
      </c>
      <c r="D199" s="1">
        <v>9148</v>
      </c>
      <c r="E199" s="1">
        <v>193500</v>
      </c>
      <c r="F199" s="1">
        <f>+A!C199-A!D199-A!E199</f>
        <v>7754</v>
      </c>
      <c r="G199" s="1"/>
      <c r="H199" s="4">
        <f>SUM(A!J199:J205)/7*1000000/A!H$3-SUM(A!F199:F205)/7*(1-A!N$3)</f>
        <v>16527.752380952377</v>
      </c>
      <c r="I199" s="7">
        <f>SUM(A!F196:F202)/7</f>
        <v>7962.7142857142853</v>
      </c>
      <c r="J199" s="1">
        <v>270</v>
      </c>
      <c r="K199" s="1">
        <v>-9</v>
      </c>
      <c r="L199" s="1"/>
      <c r="M199" s="4">
        <f>A!D199-A!D200</f>
        <v>7</v>
      </c>
      <c r="N199" s="11">
        <f>SUM(A!P199:P205)/7*A!N$3</f>
        <v>13.694285714285714</v>
      </c>
      <c r="O199" s="4">
        <f>(SUM(A!M184:M190)/A!O$3*1000-SUM(A!P196:P202))/7+A!N198</f>
        <v>1098.1415285557241</v>
      </c>
      <c r="P199" s="4">
        <f t="shared" si="37"/>
        <v>509</v>
      </c>
      <c r="Q199" s="1">
        <f>SUM(A!P196:P202)/7</f>
        <v>748.42857142857144</v>
      </c>
      <c r="S199" s="4"/>
      <c r="T199" s="8"/>
      <c r="U199" s="8"/>
      <c r="V199" s="8"/>
      <c r="W199" s="8"/>
      <c r="Z199" s="10">
        <f t="shared" si="38"/>
        <v>44044</v>
      </c>
      <c r="AA199" s="1">
        <f>AI199*AI$3*2</f>
        <v>1173240</v>
      </c>
      <c r="AB199" s="1">
        <f t="shared" si="41"/>
        <v>7962.7142857142853</v>
      </c>
      <c r="AC199" s="1">
        <f t="shared" si="42"/>
        <v>19731.444026529549</v>
      </c>
      <c r="AD199" s="1">
        <f t="shared" si="43"/>
        <v>13989.908275627671</v>
      </c>
      <c r="AF199" s="10">
        <f t="shared" si="39"/>
        <v>44044</v>
      </c>
      <c r="AG199" s="6">
        <f t="shared" si="44"/>
        <v>0.68800981182288201</v>
      </c>
      <c r="AH199" s="6">
        <f t="shared" si="40"/>
        <v>0.60991479691932227</v>
      </c>
      <c r="AI199" s="6">
        <f>V$32/V$57*AI$4</f>
        <v>0.68834511631415507</v>
      </c>
      <c r="AJ199" s="1"/>
    </row>
    <row r="200" spans="2:36" ht="15.6">
      <c r="B200" s="2">
        <f t="shared" si="36"/>
        <v>44045</v>
      </c>
      <c r="C200" s="1">
        <v>209893</v>
      </c>
      <c r="D200" s="1">
        <v>9141</v>
      </c>
      <c r="E200" s="1">
        <v>192900</v>
      </c>
      <c r="F200" s="1">
        <f>+A!C200-A!D200-A!E200</f>
        <v>7852</v>
      </c>
      <c r="G200" s="1"/>
      <c r="H200" s="4">
        <f>SUM(A!J200:J206)/7*1000000/A!H$3-SUM(A!F200:F206)/7*(1-A!N$3)</f>
        <v>16646.286666666667</v>
      </c>
      <c r="I200" s="7">
        <f>SUM(A!F197:F203)/7</f>
        <v>7705.8571428571431</v>
      </c>
      <c r="J200" s="1">
        <v>272</v>
      </c>
      <c r="K200" s="1">
        <v>5</v>
      </c>
      <c r="L200" s="1"/>
      <c r="M200" s="4">
        <f>A!D200-A!D201</f>
        <v>-7</v>
      </c>
      <c r="N200" s="11">
        <f>SUM(A!P200:P206)/7*A!N$3</f>
        <v>13.211428571428572</v>
      </c>
      <c r="O200" s="4">
        <f>(SUM(A!M185:M191)/A!O$3*1000-SUM(A!P197:P203))/7+A!N199</f>
        <v>1117.8672428414386</v>
      </c>
      <c r="P200" s="4">
        <f t="shared" si="37"/>
        <v>240</v>
      </c>
      <c r="Q200" s="1">
        <f>SUM(A!P197:P203)/7</f>
        <v>728</v>
      </c>
      <c r="S200" s="4"/>
      <c r="T200" s="8"/>
      <c r="U200" s="8"/>
      <c r="V200" s="8"/>
      <c r="W200" s="8"/>
      <c r="Z200" s="10">
        <f t="shared" si="38"/>
        <v>44043</v>
      </c>
      <c r="AA200" s="1">
        <f>AI200*AI$3*2</f>
        <v>1173240</v>
      </c>
      <c r="AB200" s="1">
        <f t="shared" si="41"/>
        <v>7705.8571428571431</v>
      </c>
      <c r="AC200" s="1">
        <f t="shared" si="42"/>
        <v>19591.313446738124</v>
      </c>
      <c r="AD200" s="1">
        <f t="shared" si="43"/>
        <v>15298.312782981657</v>
      </c>
      <c r="AF200" s="10">
        <f t="shared" si="39"/>
        <v>44043</v>
      </c>
      <c r="AG200" s="6">
        <f t="shared" si="44"/>
        <v>0.69410085831081259</v>
      </c>
      <c r="AH200" s="6">
        <f t="shared" si="40"/>
        <v>0.63922871154654581</v>
      </c>
      <c r="AI200" s="6">
        <f>V$32/V$57*AI$4</f>
        <v>0.68834511631415507</v>
      </c>
      <c r="AJ200" s="1"/>
    </row>
    <row r="201" spans="2:36" ht="15.6">
      <c r="B201" s="2">
        <f t="shared" si="36"/>
        <v>44044</v>
      </c>
      <c r="C201" s="1">
        <v>209653</v>
      </c>
      <c r="D201" s="1">
        <v>9148</v>
      </c>
      <c r="E201" s="1">
        <v>192700</v>
      </c>
      <c r="F201" s="1">
        <f>+A!C201-A!D201-A!E201</f>
        <v>7805</v>
      </c>
      <c r="G201" s="1"/>
      <c r="H201" s="4">
        <f>SUM(A!J201:J207)/7*1000000/A!H$3-SUM(A!F201:F207)/7*(1-A!N$3)</f>
        <v>16439.982222222221</v>
      </c>
      <c r="I201" s="7">
        <f>SUM(A!F198:F204)/7</f>
        <v>7455</v>
      </c>
      <c r="J201" s="1">
        <v>265</v>
      </c>
      <c r="K201" s="1">
        <v>0</v>
      </c>
      <c r="L201" s="1"/>
      <c r="M201" s="4">
        <f>A!D201-A!D202</f>
        <v>7</v>
      </c>
      <c r="N201" s="11">
        <f>SUM(A!P201:P207)/7*A!N$3</f>
        <v>13.397142857142859</v>
      </c>
      <c r="O201" s="4">
        <f>(SUM(A!M186:M192)/A!O$3*1000-SUM(A!P198:P204))/7+A!N200</f>
        <v>1125.5272428414385</v>
      </c>
      <c r="P201" s="4">
        <f t="shared" si="37"/>
        <v>955</v>
      </c>
      <c r="Q201" s="1">
        <f>SUM(A!P198:P204)/7</f>
        <v>719.85714285714289</v>
      </c>
      <c r="S201" s="4"/>
      <c r="T201" s="8"/>
      <c r="U201" s="8"/>
      <c r="V201" s="8"/>
      <c r="W201" s="8"/>
      <c r="Z201" s="10">
        <f t="shared" si="38"/>
        <v>44042</v>
      </c>
      <c r="AA201" s="1">
        <f>AI201*AI$3*2</f>
        <v>1173240</v>
      </c>
      <c r="AB201" s="1">
        <f t="shared" si="41"/>
        <v>7455</v>
      </c>
      <c r="AC201" s="1">
        <f t="shared" si="42"/>
        <v>19451.26557783844</v>
      </c>
      <c r="AD201" s="1">
        <f t="shared" si="43"/>
        <v>19623.165592451878</v>
      </c>
      <c r="AF201" s="10">
        <f t="shared" si="39"/>
        <v>44042</v>
      </c>
      <c r="AG201" s="6">
        <f t="shared" si="44"/>
        <v>0.69945628178204933</v>
      </c>
      <c r="AH201" s="6">
        <f t="shared" si="40"/>
        <v>0.70130265709300066</v>
      </c>
      <c r="AI201" s="6">
        <f>V$32/V$57*AI$4</f>
        <v>0.68834511631415507</v>
      </c>
      <c r="AJ201" s="1"/>
    </row>
    <row r="202" spans="2:36" ht="15.6">
      <c r="B202" s="2">
        <f t="shared" si="36"/>
        <v>44043</v>
      </c>
      <c r="C202" s="1">
        <v>208698</v>
      </c>
      <c r="D202" s="1">
        <v>9141</v>
      </c>
      <c r="E202" s="1">
        <v>192300</v>
      </c>
      <c r="F202" s="1">
        <f>+A!C202-A!D202-A!E202</f>
        <v>7257</v>
      </c>
      <c r="G202" s="1"/>
      <c r="H202" s="4">
        <f>SUM(A!J202:J208)/7*1000000/A!H$3-SUM(A!F202:F208)/7*(1-A!N$3)</f>
        <v>16330.686666666668</v>
      </c>
      <c r="I202" s="7">
        <f>SUM(A!F199:F205)/7</f>
        <v>7197.1428571428569</v>
      </c>
      <c r="J202" s="1">
        <v>265</v>
      </c>
      <c r="K202" s="1">
        <v>6</v>
      </c>
      <c r="L202" s="1"/>
      <c r="M202" s="4">
        <f>A!D202-A!D203</f>
        <v>7</v>
      </c>
      <c r="N202" s="11">
        <f>SUM(A!P202:P208)/7*A!N$3</f>
        <v>12.9</v>
      </c>
      <c r="O202" s="4">
        <f>(SUM(A!M187:M193)/A!O$3*1000-SUM(A!P199:P205))/7+A!N201</f>
        <v>1213.2036130450713</v>
      </c>
      <c r="P202" s="4">
        <f t="shared" si="37"/>
        <v>870</v>
      </c>
      <c r="Q202" s="1">
        <f>SUM(A!P199:P205)/7</f>
        <v>684.71428571428567</v>
      </c>
      <c r="S202" s="4"/>
      <c r="T202" s="8"/>
      <c r="U202" s="8"/>
      <c r="V202" s="8"/>
      <c r="W202" s="8"/>
      <c r="Z202" s="10">
        <f t="shared" si="38"/>
        <v>44041</v>
      </c>
      <c r="AA202" s="1">
        <f>AI202*AI$3*2</f>
        <v>1173240</v>
      </c>
      <c r="AB202" s="1">
        <f t="shared" si="41"/>
        <v>7197.1428571428569</v>
      </c>
      <c r="AC202" s="1">
        <f t="shared" si="42"/>
        <v>19316.06309641973</v>
      </c>
      <c r="AD202" s="1">
        <f t="shared" si="43"/>
        <v>14782.015521002882</v>
      </c>
      <c r="AF202" s="10">
        <f t="shared" si="39"/>
        <v>44041</v>
      </c>
      <c r="AG202" s="6">
        <f t="shared" si="44"/>
        <v>0.70539448005235095</v>
      </c>
      <c r="AH202" s="6">
        <f t="shared" si="40"/>
        <v>0.64693512369531236</v>
      </c>
      <c r="AI202" s="6">
        <f>V$32/V$57*AI$4</f>
        <v>0.68834511631415507</v>
      </c>
      <c r="AJ202" s="1"/>
    </row>
    <row r="203" spans="2:36" ht="15.6">
      <c r="B203" s="2">
        <f t="shared" si="36"/>
        <v>44042</v>
      </c>
      <c r="C203" s="1">
        <v>207828</v>
      </c>
      <c r="D203" s="1">
        <v>9134</v>
      </c>
      <c r="E203" s="1">
        <v>191800</v>
      </c>
      <c r="F203" s="1">
        <f>+A!C203-A!D203-A!E203</f>
        <v>6894</v>
      </c>
      <c r="G203" s="1"/>
      <c r="H203" s="4">
        <f>SUM(A!J203:J209)/7*1000000/A!H$3-SUM(A!F203:F209)/7*(1-A!N$3)</f>
        <v>16197.03111111111</v>
      </c>
      <c r="I203" s="7">
        <f>SUM(A!F200:F206)/7</f>
        <v>6959.5714285714284</v>
      </c>
      <c r="J203" s="1">
        <v>266</v>
      </c>
      <c r="K203" s="1">
        <v>0</v>
      </c>
      <c r="L203" s="1"/>
      <c r="M203" s="4">
        <f>A!D203-A!D204</f>
        <v>6</v>
      </c>
      <c r="N203" s="11">
        <f>SUM(A!P203:P209)/7*A!N$3</f>
        <v>12.742857142857142</v>
      </c>
      <c r="O203" s="4">
        <f>(SUM(A!M188:M194)/A!O$3*1000-SUM(A!P200:P206))/7+A!N202</f>
        <v>1550.9361199811547</v>
      </c>
      <c r="P203" s="4">
        <f t="shared" si="37"/>
        <v>902</v>
      </c>
      <c r="Q203" s="1">
        <f>SUM(A!P200:P206)/7</f>
        <v>660.57142857142856</v>
      </c>
      <c r="S203" s="4"/>
      <c r="T203" s="8"/>
      <c r="U203" s="8"/>
      <c r="V203" s="8"/>
      <c r="W203" s="8"/>
      <c r="Z203" s="10">
        <f t="shared" si="38"/>
        <v>44040</v>
      </c>
      <c r="AA203" s="1">
        <f>AI203*AI$3*2</f>
        <v>1173240</v>
      </c>
      <c r="AB203" s="1">
        <f t="shared" si="41"/>
        <v>6959.5714285714284</v>
      </c>
      <c r="AC203" s="1">
        <f t="shared" si="42"/>
        <v>19564.4560537123</v>
      </c>
      <c r="AD203" s="1">
        <f t="shared" si="43"/>
        <v>17114.873534279086</v>
      </c>
      <c r="AF203" s="10">
        <f t="shared" si="39"/>
        <v>44040</v>
      </c>
      <c r="AG203" s="6">
        <f t="shared" si="44"/>
        <v>0.71395980078754129</v>
      </c>
      <c r="AH203" s="6">
        <f t="shared" si="40"/>
        <v>0.68588002680516136</v>
      </c>
      <c r="AI203" s="6">
        <f>V$32/V$57*AI$4</f>
        <v>0.68834511631415507</v>
      </c>
      <c r="AJ203" s="1"/>
    </row>
    <row r="204" spans="2:36" ht="15.6">
      <c r="B204" s="2">
        <f t="shared" si="36"/>
        <v>44041</v>
      </c>
      <c r="C204" s="1">
        <v>206926</v>
      </c>
      <c r="D204" s="1">
        <v>9128</v>
      </c>
      <c r="E204" s="1">
        <v>191300</v>
      </c>
      <c r="F204" s="1">
        <f>+A!C204-A!D204-A!E204</f>
        <v>6498</v>
      </c>
      <c r="G204" s="1"/>
      <c r="H204" s="4">
        <f>SUM(A!J204:J210)/7*1000000/A!H$3-SUM(A!F204:F210)/7*(1-A!N$3)</f>
        <v>16081.953968253969</v>
      </c>
      <c r="I204" s="7">
        <f>SUM(A!F201:F207)/7</f>
        <v>6716.5714285714284</v>
      </c>
      <c r="J204" s="1">
        <v>261</v>
      </c>
      <c r="K204" s="1">
        <v>-4</v>
      </c>
      <c r="L204" s="1"/>
      <c r="M204" s="4">
        <f>A!D204-A!D205</f>
        <v>6</v>
      </c>
      <c r="N204" s="11">
        <f>SUM(A!P204:P210)/7*A!N$3</f>
        <v>11.791428571428572</v>
      </c>
      <c r="O204" s="4">
        <f>(SUM(A!M189:M195)/A!O$3*1000-SUM(A!P201:P207))/7+A!N203</f>
        <v>1227.4064701879286</v>
      </c>
      <c r="P204" s="4">
        <f t="shared" si="37"/>
        <v>684</v>
      </c>
      <c r="Q204" s="1">
        <f>SUM(A!P201:P207)/7</f>
        <v>669.85714285714289</v>
      </c>
      <c r="S204" s="4"/>
      <c r="T204" s="8"/>
      <c r="U204" s="8"/>
      <c r="V204" s="8"/>
      <c r="W204" s="8"/>
      <c r="Z204" s="10">
        <f t="shared" si="38"/>
        <v>44039</v>
      </c>
      <c r="AA204" s="1">
        <f>AI204*AI$3*2</f>
        <v>1173240</v>
      </c>
      <c r="AB204" s="1">
        <f t="shared" si="41"/>
        <v>6716.5714285714284</v>
      </c>
      <c r="AC204" s="1">
        <f t="shared" si="42"/>
        <v>19743.624884696022</v>
      </c>
      <c r="AD204" s="1">
        <f t="shared" si="43"/>
        <v>20578.090497749159</v>
      </c>
      <c r="AF204" s="10">
        <f t="shared" si="39"/>
        <v>44039</v>
      </c>
      <c r="AG204" s="6">
        <f t="shared" si="44"/>
        <v>0.72257683661985761</v>
      </c>
      <c r="AH204" s="6">
        <f t="shared" si="40"/>
        <v>0.73079819456897854</v>
      </c>
      <c r="AI204" s="6">
        <f>V$32/V$57*AI$4</f>
        <v>0.68834511631415507</v>
      </c>
      <c r="AJ204" s="1" t="str">
        <f>AJ197</f>
        <v>x</v>
      </c>
    </row>
    <row r="205" spans="2:36" ht="15.6">
      <c r="B205" s="2">
        <f t="shared" si="36"/>
        <v>44040</v>
      </c>
      <c r="C205" s="1">
        <v>206242</v>
      </c>
      <c r="D205" s="1">
        <v>9122</v>
      </c>
      <c r="E205" s="1">
        <v>190800</v>
      </c>
      <c r="F205" s="1">
        <f>+A!C205-A!D205-A!E205</f>
        <v>6320</v>
      </c>
      <c r="G205" s="1"/>
      <c r="H205" s="4">
        <f>SUM(A!J205:J211)/7*1000000/A!H$3-SUM(A!F205:F211)/7*(1-A!N$3)</f>
        <v>16137.431428571432</v>
      </c>
      <c r="I205" s="7">
        <f>SUM(A!F202:F208)/7</f>
        <v>6465.2857142857147</v>
      </c>
      <c r="J205" s="1">
        <v>258</v>
      </c>
      <c r="K205" s="1">
        <v>16</v>
      </c>
      <c r="L205" s="1"/>
      <c r="M205" s="4">
        <f>A!D205-A!D206</f>
        <v>4</v>
      </c>
      <c r="N205" s="11">
        <f>SUM(A!P205:P211)/7*A!N$3</f>
        <v>11.134285714285713</v>
      </c>
      <c r="O205" s="4">
        <f>(SUM(A!M190:M196)/A!O$3*1000-SUM(A!P202:P208))/7+A!N204</f>
        <v>1408.3555807988271</v>
      </c>
      <c r="P205" s="4">
        <f t="shared" si="37"/>
        <v>633</v>
      </c>
      <c r="Q205" s="1">
        <f>SUM(A!P202:P208)/7</f>
        <v>645</v>
      </c>
      <c r="S205" s="4"/>
      <c r="T205" s="8"/>
      <c r="U205" s="8"/>
      <c r="V205" s="8"/>
      <c r="W205" s="8"/>
      <c r="Z205" s="10">
        <f t="shared" si="38"/>
        <v>44038</v>
      </c>
      <c r="AA205" s="1">
        <f>AI205*AI$3*2</f>
        <v>1149766</v>
      </c>
      <c r="AB205" s="1">
        <f t="shared" si="41"/>
        <v>6465.2857142857147</v>
      </c>
      <c r="AC205" s="1">
        <f t="shared" si="42"/>
        <v>19925.10731134253</v>
      </c>
      <c r="AD205" s="1">
        <f t="shared" si="43"/>
        <v>24511.668071189095</v>
      </c>
      <c r="AF205" s="10">
        <f t="shared" si="39"/>
        <v>44038</v>
      </c>
      <c r="AG205" s="6">
        <f t="shared" si="44"/>
        <v>0.73252243085039859</v>
      </c>
      <c r="AH205" s="6">
        <f t="shared" si="40"/>
        <v>0.77111660077855326</v>
      </c>
      <c r="AI205" s="6">
        <f>V$33/V$57*AI$4</f>
        <v>0.67457281630703081</v>
      </c>
      <c r="AJ205" s="1"/>
    </row>
    <row r="206" spans="2:36" ht="15.6">
      <c r="B206" s="2">
        <f t="shared" si="36"/>
        <v>44039</v>
      </c>
      <c r="C206" s="1">
        <v>205609</v>
      </c>
      <c r="D206" s="1">
        <v>9118</v>
      </c>
      <c r="E206" s="1">
        <v>190400</v>
      </c>
      <c r="F206" s="1">
        <f>+A!C206-A!D206-A!E206</f>
        <v>6091</v>
      </c>
      <c r="G206" s="1"/>
      <c r="H206" s="4">
        <f>SUM(A!J206:J212)/7*1000000/A!H$3-SUM(A!F206:F212)/7*(1-A!N$3)</f>
        <v>16249.737777777777</v>
      </c>
      <c r="I206" s="7">
        <f>SUM(A!F203:F209)/7</f>
        <v>6238.8571428571431</v>
      </c>
      <c r="J206" s="1">
        <v>261</v>
      </c>
      <c r="K206" s="1">
        <v>-8</v>
      </c>
      <c r="L206" s="1"/>
      <c r="M206" s="4">
        <f>A!D206-A!D207</f>
        <v>0</v>
      </c>
      <c r="N206" s="11">
        <f>SUM(A!P206:P212)/7*A!N$3</f>
        <v>10.817142857142859</v>
      </c>
      <c r="O206" s="4">
        <f>(SUM(A!M191:M197)/A!O$3*1000-SUM(A!P203:P209))/7+A!N205</f>
        <v>1729.6423734491962</v>
      </c>
      <c r="P206" s="4">
        <f t="shared" si="37"/>
        <v>340</v>
      </c>
      <c r="Q206" s="1">
        <f>SUM(A!P203:P209)/7</f>
        <v>637.14285714285711</v>
      </c>
      <c r="S206" s="4"/>
      <c r="T206" s="8"/>
      <c r="U206" s="8"/>
      <c r="V206" s="8"/>
      <c r="W206" s="8"/>
      <c r="Z206" s="10">
        <f t="shared" si="38"/>
        <v>44037</v>
      </c>
      <c r="AA206" s="1">
        <f>AI206*AI$3*2</f>
        <v>1149766</v>
      </c>
      <c r="AB206" s="1">
        <f t="shared" si="41"/>
        <v>6238.8571428571431</v>
      </c>
      <c r="AC206" s="1">
        <f t="shared" si="42"/>
        <v>20440.571509562822</v>
      </c>
      <c r="AD206" s="1">
        <f t="shared" si="43"/>
        <v>29297.743500029446</v>
      </c>
      <c r="AF206" s="10">
        <f t="shared" si="39"/>
        <v>44037</v>
      </c>
      <c r="AG206" s="6">
        <f t="shared" si="44"/>
        <v>0.74513990586799661</v>
      </c>
      <c r="AH206" s="6">
        <f t="shared" si="40"/>
        <v>0.80734437195889996</v>
      </c>
      <c r="AI206" s="6">
        <f>V$33/V$57*AI$4</f>
        <v>0.67457281630703081</v>
      </c>
      <c r="AJ206" s="1"/>
    </row>
    <row r="207" spans="2:36" ht="15.6">
      <c r="B207" s="2">
        <f t="shared" si="36"/>
        <v>44038</v>
      </c>
      <c r="C207" s="1">
        <v>205269</v>
      </c>
      <c r="D207" s="1">
        <v>9118</v>
      </c>
      <c r="E207" s="1">
        <v>190000</v>
      </c>
      <c r="F207" s="1">
        <f>+A!C207-A!D207-A!E207</f>
        <v>6151</v>
      </c>
      <c r="G207" s="1"/>
      <c r="H207" s="4">
        <f>SUM(A!J207:J213)/7*1000000/A!H$3-SUM(A!F207:F213)/7*(1-A!N$3)</f>
        <v>16449.393015873015</v>
      </c>
      <c r="I207" s="7">
        <f>SUM(A!F204:F210)/7</f>
        <v>6006.4285714285716</v>
      </c>
      <c r="J207" s="1">
        <v>237</v>
      </c>
      <c r="K207" s="1">
        <v>3</v>
      </c>
      <c r="L207" s="1"/>
      <c r="M207" s="4">
        <f>A!D207-A!D208</f>
        <v>0</v>
      </c>
      <c r="N207" s="11">
        <f>SUM(A!P207:P213)/7*A!N$3</f>
        <v>10.557142857142859</v>
      </c>
      <c r="O207" s="4">
        <f>(SUM(A!M192:M198)/A!O$3*1000-SUM(A!P204:P210))/7+A!N206</f>
        <v>1986.2878542637284</v>
      </c>
      <c r="P207" s="4">
        <f t="shared" si="37"/>
        <v>305</v>
      </c>
      <c r="Q207" s="1">
        <f>SUM(A!P204:P210)/7</f>
        <v>589.57142857142856</v>
      </c>
      <c r="S207" s="4"/>
      <c r="T207" s="8"/>
      <c r="U207" s="8"/>
      <c r="V207" s="8"/>
      <c r="W207" s="8"/>
      <c r="Z207" s="10">
        <f t="shared" si="38"/>
        <v>44036</v>
      </c>
      <c r="AA207" s="1">
        <f>AI207*AI$3*2</f>
        <v>1149766</v>
      </c>
      <c r="AB207" s="1">
        <f t="shared" si="41"/>
        <v>6006.4285714285716</v>
      </c>
      <c r="AC207" s="1">
        <f t="shared" si="42"/>
        <v>20615.89171146051</v>
      </c>
      <c r="AD207" s="1">
        <f t="shared" si="43"/>
        <v>24032.194704646008</v>
      </c>
      <c r="AF207" s="10">
        <f t="shared" si="39"/>
        <v>44036</v>
      </c>
      <c r="AG207" s="6">
        <f t="shared" si="44"/>
        <v>0.75373999576961703</v>
      </c>
      <c r="AH207" s="6">
        <f t="shared" si="40"/>
        <v>0.78108350799964044</v>
      </c>
      <c r="AI207" s="6">
        <f>V$33/V$57*AI$4</f>
        <v>0.67457281630703081</v>
      </c>
      <c r="AJ207" s="1"/>
    </row>
    <row r="208" spans="2:36" ht="15.6">
      <c r="B208" s="2">
        <f t="shared" si="36"/>
        <v>44037</v>
      </c>
      <c r="C208" s="1">
        <v>204964</v>
      </c>
      <c r="D208" s="1">
        <v>9118</v>
      </c>
      <c r="E208" s="1">
        <v>189800</v>
      </c>
      <c r="F208" s="1">
        <f>+A!C208-A!D208-A!E208</f>
        <v>6046</v>
      </c>
      <c r="G208" s="1"/>
      <c r="H208" s="4">
        <f>SUM(A!J208:J214)/7*1000000/A!H$3-SUM(A!F208:F214)/7*(1-A!N$3)</f>
        <v>16978.885396825401</v>
      </c>
      <c r="I208" s="7">
        <f>SUM(A!F205:F211)/7</f>
        <v>5807.2857142857147</v>
      </c>
      <c r="J208" s="1">
        <v>237</v>
      </c>
      <c r="K208" s="1">
        <v>0</v>
      </c>
      <c r="L208" s="1"/>
      <c r="M208" s="4">
        <f>A!D208-A!D209</f>
        <v>7</v>
      </c>
      <c r="N208" s="11">
        <f>SUM(A!P208:P214)/7*A!N$3</f>
        <v>10.262857142857142</v>
      </c>
      <c r="O208" s="4">
        <f>(SUM(A!M193:M199)/A!O$3*1000-SUM(A!P205:P211))/7+A!N207</f>
        <v>2332.9717897712403</v>
      </c>
      <c r="P208" s="4">
        <f t="shared" si="37"/>
        <v>781</v>
      </c>
      <c r="Q208" s="1">
        <f>SUM(A!P205:P211)/7</f>
        <v>556.71428571428567</v>
      </c>
      <c r="S208" s="4"/>
      <c r="T208" s="8"/>
      <c r="U208" s="8"/>
      <c r="V208" s="8"/>
      <c r="W208" s="8"/>
      <c r="Z208" s="10">
        <f t="shared" si="38"/>
        <v>44035</v>
      </c>
      <c r="AA208" s="1">
        <f>AI208*AI$3*2</f>
        <v>1149766</v>
      </c>
      <c r="AB208" s="1">
        <f t="shared" si="41"/>
        <v>5807.2857142857147</v>
      </c>
      <c r="AC208" s="1">
        <f t="shared" si="42"/>
        <v>20949.406485873627</v>
      </c>
      <c r="AD208" s="1">
        <f t="shared" si="43"/>
        <v>20830.179485134253</v>
      </c>
      <c r="AF208" s="10">
        <f t="shared" si="39"/>
        <v>44035</v>
      </c>
      <c r="AG208" s="6">
        <f t="shared" si="44"/>
        <v>0.76198721345316589</v>
      </c>
      <c r="AH208" s="6">
        <f t="shared" si="40"/>
        <v>0.76095054870553613</v>
      </c>
      <c r="AI208" s="6">
        <f>V$33/V$57*AI$4</f>
        <v>0.67457281630703081</v>
      </c>
      <c r="AJ208" s="1"/>
    </row>
    <row r="209" spans="2:36" ht="15.6">
      <c r="B209" s="2">
        <f t="shared" si="36"/>
        <v>44036</v>
      </c>
      <c r="C209" s="1">
        <v>204183</v>
      </c>
      <c r="D209" s="1">
        <v>9111</v>
      </c>
      <c r="E209" s="1">
        <v>189400</v>
      </c>
      <c r="F209" s="1">
        <f>+A!C209-A!D209-A!E209</f>
        <v>5672</v>
      </c>
      <c r="G209" s="1"/>
      <c r="H209" s="4">
        <f>SUM(A!J209:J215)/7*1000000/A!H$3-SUM(A!F209:F215)/7*(1-A!N$3)</f>
        <v>17265.246349206347</v>
      </c>
      <c r="I209" s="7">
        <f>SUM(A!F206:F212)/7</f>
        <v>5640.8571428571431</v>
      </c>
      <c r="J209" s="1">
        <v>237</v>
      </c>
      <c r="K209" s="1">
        <v>-4</v>
      </c>
      <c r="L209" s="1"/>
      <c r="M209" s="4">
        <f>A!D209-A!D210</f>
        <v>10</v>
      </c>
      <c r="N209" s="11">
        <f>SUM(A!P209:P215)/7*A!N$3</f>
        <v>9.5428571428571427</v>
      </c>
      <c r="O209" s="4">
        <f>(SUM(A!M194:M200)/A!O$3*1000-SUM(A!P206:P212))/7+A!N208</f>
        <v>1929.752256713605</v>
      </c>
      <c r="P209" s="4">
        <f t="shared" si="37"/>
        <v>815</v>
      </c>
      <c r="Q209" s="1">
        <f>SUM(A!P206:P212)/7</f>
        <v>540.85714285714289</v>
      </c>
      <c r="S209" s="4"/>
      <c r="T209" s="8"/>
      <c r="U209" s="8"/>
      <c r="V209" s="8"/>
      <c r="W209" s="8"/>
      <c r="Z209" s="10">
        <f t="shared" si="38"/>
        <v>44034</v>
      </c>
      <c r="AA209" s="1">
        <f>AI209*AI$3*2</f>
        <v>1149766</v>
      </c>
      <c r="AB209" s="1">
        <f t="shared" si="41"/>
        <v>5640.8571428571431</v>
      </c>
      <c r="AC209" s="1">
        <f t="shared" si="42"/>
        <v>21218.346492856053</v>
      </c>
      <c r="AD209" s="1">
        <f t="shared" si="43"/>
        <v>20306.912016010505</v>
      </c>
      <c r="AF209" s="10">
        <f t="shared" si="39"/>
        <v>44034</v>
      </c>
      <c r="AG209" s="6">
        <f t="shared" si="44"/>
        <v>0.76977107115742349</v>
      </c>
      <c r="AH209" s="6">
        <f t="shared" si="40"/>
        <v>0.76189810558882343</v>
      </c>
      <c r="AI209" s="6">
        <f>V$33/V$57*AI$4</f>
        <v>0.67457281630703081</v>
      </c>
      <c r="AJ209" s="1"/>
    </row>
    <row r="210" spans="2:36" ht="15.6">
      <c r="B210" s="2">
        <f t="shared" si="36"/>
        <v>44035</v>
      </c>
      <c r="C210" s="1">
        <v>203368</v>
      </c>
      <c r="D210" s="1">
        <v>9101</v>
      </c>
      <c r="E210" s="1">
        <v>189000</v>
      </c>
      <c r="F210" s="1">
        <f>+A!C210-A!D210-A!E210</f>
        <v>5267</v>
      </c>
      <c r="G210" s="1"/>
      <c r="H210" s="4">
        <f>SUM(A!J210:J216)/7*1000000/A!H$3-SUM(A!F210:F216)/7*(1-A!N$3)</f>
        <v>17531.167301587302</v>
      </c>
      <c r="I210" s="7">
        <f>SUM(A!F207:F213)/7</f>
        <v>5476</v>
      </c>
      <c r="J210" s="1">
        <v>239</v>
      </c>
      <c r="K210" s="1">
        <v>-8</v>
      </c>
      <c r="L210" s="1"/>
      <c r="M210" s="4">
        <f>A!D210-A!D211</f>
        <v>6</v>
      </c>
      <c r="N210" s="11">
        <f>SUM(A!P210:P216)/7*A!N$3</f>
        <v>8.8800000000000008</v>
      </c>
      <c r="O210" s="4">
        <f>(SUM(A!M195:M201)/A!O$3*1000-SUM(A!P207:P213))/7+A!N209</f>
        <v>1680.2932628382976</v>
      </c>
      <c r="P210" s="4">
        <f t="shared" si="37"/>
        <v>569</v>
      </c>
      <c r="Q210" s="1">
        <f>SUM(A!P207:P213)/7</f>
        <v>527.85714285714289</v>
      </c>
      <c r="S210" s="4"/>
      <c r="T210" s="8"/>
      <c r="U210" s="8"/>
      <c r="V210" s="8"/>
      <c r="W210" s="8"/>
      <c r="Z210" s="10">
        <f t="shared" si="38"/>
        <v>44033</v>
      </c>
      <c r="AA210" s="1">
        <f>AI210*AI$3*2</f>
        <v>1149766</v>
      </c>
      <c r="AB210" s="1">
        <f t="shared" si="41"/>
        <v>5476</v>
      </c>
      <c r="AC210" s="1">
        <f t="shared" si="42"/>
        <v>21331.598665974288</v>
      </c>
      <c r="AD210" s="1">
        <f t="shared" si="43"/>
        <v>21133.11160286576</v>
      </c>
      <c r="AF210" s="10">
        <f t="shared" si="39"/>
        <v>44033</v>
      </c>
      <c r="AG210" s="6">
        <f t="shared" si="44"/>
        <v>0.77471577672392788</v>
      </c>
      <c r="AH210" s="6">
        <f t="shared" si="40"/>
        <v>0.77308000018006484</v>
      </c>
      <c r="AI210" s="6">
        <f>V$33/V$57*AI$4</f>
        <v>0.67457281630703081</v>
      </c>
      <c r="AJ210" s="1"/>
    </row>
    <row r="211" spans="2:36" ht="15.6">
      <c r="B211" s="2">
        <f t="shared" si="36"/>
        <v>44034</v>
      </c>
      <c r="C211" s="1">
        <v>202799</v>
      </c>
      <c r="D211" s="1">
        <v>9095</v>
      </c>
      <c r="E211" s="1">
        <v>188600</v>
      </c>
      <c r="F211" s="1">
        <f>+A!C211-A!D211-A!E211</f>
        <v>5104</v>
      </c>
      <c r="G211" s="1"/>
      <c r="H211" s="4">
        <f>SUM(A!J211:J217)/7*1000000/A!H$3-SUM(A!F211:F217)/7*(1-A!N$3)</f>
        <v>17802.241904761901</v>
      </c>
      <c r="I211" s="7">
        <f>SUM(A!F208:F214)/7</f>
        <v>5324.4285714285716</v>
      </c>
      <c r="J211" s="1">
        <v>250</v>
      </c>
      <c r="K211" s="1">
        <v>3</v>
      </c>
      <c r="L211" s="1"/>
      <c r="M211" s="4">
        <f>A!D211-A!D212</f>
        <v>5</v>
      </c>
      <c r="N211" s="11">
        <f>SUM(A!P211:P217)/7*A!N$3</f>
        <v>8.7799999999999994</v>
      </c>
      <c r="O211" s="4">
        <f>(SUM(A!M196:M202)/A!O$3*1000-SUM(A!P208:P214))/7+A!N210</f>
        <v>1641.9968926346648</v>
      </c>
      <c r="P211" s="4">
        <f t="shared" si="37"/>
        <v>454</v>
      </c>
      <c r="Q211" s="1">
        <f>SUM(A!P208:P214)/7</f>
        <v>513.14285714285711</v>
      </c>
      <c r="S211" s="4"/>
      <c r="T211" s="8"/>
      <c r="U211" s="8"/>
      <c r="V211" s="8"/>
      <c r="W211" s="8"/>
      <c r="Z211" s="10">
        <f t="shared" si="38"/>
        <v>44032</v>
      </c>
      <c r="AA211" s="1">
        <f>AI211*AI$3*2</f>
        <v>1149766</v>
      </c>
      <c r="AB211" s="1">
        <f t="shared" si="41"/>
        <v>5324.4285714285716</v>
      </c>
      <c r="AC211" s="1">
        <f t="shared" si="42"/>
        <v>21494.880263103176</v>
      </c>
      <c r="AD211" s="1">
        <f t="shared" si="43"/>
        <v>18322.074827843448</v>
      </c>
      <c r="AF211" s="10">
        <f t="shared" si="39"/>
        <v>44032</v>
      </c>
      <c r="AG211" s="6">
        <f t="shared" si="44"/>
        <v>0.78031798714742617</v>
      </c>
      <c r="AH211" s="6">
        <f t="shared" si="40"/>
        <v>0.75172101965410054</v>
      </c>
      <c r="AI211" s="6">
        <f>V$33/V$57*AI$4</f>
        <v>0.67457281630703081</v>
      </c>
      <c r="AJ211" s="1" t="str">
        <f>AJ204</f>
        <v>x</v>
      </c>
    </row>
    <row r="212" spans="2:36" ht="15.6">
      <c r="B212" s="2">
        <f t="shared" si="36"/>
        <v>44033</v>
      </c>
      <c r="C212" s="1">
        <v>202345</v>
      </c>
      <c r="D212" s="1">
        <v>9090</v>
      </c>
      <c r="E212" s="1">
        <v>188100</v>
      </c>
      <c r="F212" s="1">
        <f>+A!C212-A!D212-A!E212</f>
        <v>5155</v>
      </c>
      <c r="G212" s="1"/>
      <c r="H212" s="4">
        <f>SUM(A!J212:J218)/7*1000000/A!H$3-SUM(A!F212:F218)/7*(1-A!N$3)</f>
        <v>17839.705079365078</v>
      </c>
      <c r="I212" s="7">
        <f>SUM(A!F209:F215)/7</f>
        <v>5187.7142857142853</v>
      </c>
      <c r="J212" s="1">
        <v>254</v>
      </c>
      <c r="K212" s="1">
        <v>9</v>
      </c>
      <c r="L212" s="1"/>
      <c r="M212" s="4">
        <f>A!D212-A!D213</f>
        <v>4</v>
      </c>
      <c r="N212" s="11">
        <f>SUM(A!P212:P218)/7*A!N$3</f>
        <v>8.4857142857142858</v>
      </c>
      <c r="O212" s="4">
        <f>(SUM(A!M197:M203)/A!O$3*1000-SUM(A!P209:P215))/7+A!N211</f>
        <v>1625.5490938596031</v>
      </c>
      <c r="P212" s="4">
        <f t="shared" si="37"/>
        <v>522</v>
      </c>
      <c r="Q212" s="1">
        <f>SUM(A!P209:P215)/7</f>
        <v>477.14285714285717</v>
      </c>
      <c r="S212" s="4"/>
      <c r="T212" s="8"/>
      <c r="U212" s="8"/>
      <c r="V212" s="8"/>
      <c r="W212" s="8"/>
      <c r="Z212" s="10">
        <f t="shared" si="38"/>
        <v>44031</v>
      </c>
      <c r="AA212" s="1">
        <f>AI212*AI$3*2</f>
        <v>1077402</v>
      </c>
      <c r="AB212" s="1">
        <f t="shared" si="41"/>
        <v>5187.7142857142853</v>
      </c>
      <c r="AC212" s="1">
        <f t="shared" si="42"/>
        <v>21205.664945782995</v>
      </c>
      <c r="AD212" s="1">
        <f t="shared" si="43"/>
        <v>15269.52554777849</v>
      </c>
      <c r="AF212" s="10">
        <f t="shared" si="39"/>
        <v>44031</v>
      </c>
      <c r="AG212" s="6">
        <f t="shared" si="44"/>
        <v>0.78284906257687248</v>
      </c>
      <c r="AH212" s="6">
        <f t="shared" si="40"/>
        <v>0.721906435722382</v>
      </c>
      <c r="AI212" s="6">
        <f>V$34/V$57*AI$4</f>
        <v>0.6321165362646205</v>
      </c>
      <c r="AJ212" s="1"/>
    </row>
    <row r="213" spans="2:36" ht="15.6">
      <c r="B213" s="2">
        <f t="shared" si="36"/>
        <v>44032</v>
      </c>
      <c r="C213" s="1">
        <v>201823</v>
      </c>
      <c r="D213" s="1">
        <v>9086</v>
      </c>
      <c r="E213" s="1">
        <v>187800</v>
      </c>
      <c r="F213" s="1">
        <f>+A!C213-A!D213-A!E213</f>
        <v>4937</v>
      </c>
      <c r="G213" s="1"/>
      <c r="H213" s="4">
        <f>SUM(A!J213:J219)/7*1000000/A!H$3-SUM(A!F213:F219)/7*(1-A!N$3)</f>
        <v>18015.409206349206</v>
      </c>
      <c r="I213" s="7">
        <f>SUM(A!F210:F216)/7</f>
        <v>5071.8571428571431</v>
      </c>
      <c r="J213" s="1">
        <v>264</v>
      </c>
      <c r="K213" s="1">
        <v>25</v>
      </c>
      <c r="L213" s="1"/>
      <c r="M213" s="4">
        <f>A!D213-A!D214</f>
        <v>2</v>
      </c>
      <c r="N213" s="11">
        <f>SUM(A!P213:P219)/7*A!N$3</f>
        <v>8.1714285714285708</v>
      </c>
      <c r="O213" s="4">
        <f>(SUM(A!M198:M204)/A!O$3*1000-SUM(A!P210:P216))/7+A!N212</f>
        <v>1344.3108726378055</v>
      </c>
      <c r="P213" s="4">
        <f t="shared" si="37"/>
        <v>249</v>
      </c>
      <c r="Q213" s="1">
        <f>SUM(A!P210:P216)/7</f>
        <v>444</v>
      </c>
      <c r="S213" s="4"/>
      <c r="T213" s="8"/>
      <c r="U213" s="8"/>
      <c r="V213" s="8"/>
      <c r="W213" s="8"/>
      <c r="Z213" s="10">
        <f t="shared" si="38"/>
        <v>44030</v>
      </c>
      <c r="AA213" s="1">
        <f>AI213*AI$3*2</f>
        <v>1077402</v>
      </c>
      <c r="AB213" s="1">
        <f t="shared" si="41"/>
        <v>5071.8571428571431</v>
      </c>
      <c r="AC213" s="1">
        <f t="shared" si="42"/>
        <v>20801.285932482861</v>
      </c>
      <c r="AD213" s="1">
        <f t="shared" si="43"/>
        <v>10683.364206743136</v>
      </c>
      <c r="AF213" s="10">
        <f t="shared" si="39"/>
        <v>44030</v>
      </c>
      <c r="AG213" s="6">
        <f t="shared" si="44"/>
        <v>0.78329047914939587</v>
      </c>
      <c r="AH213" s="6">
        <f t="shared" si="40"/>
        <v>0.64990433794870794</v>
      </c>
      <c r="AI213" s="6">
        <f>V$34/V$57*AI$4</f>
        <v>0.6321165362646205</v>
      </c>
      <c r="AJ213" s="1"/>
    </row>
    <row r="214" spans="2:36" ht="15.6">
      <c r="B214" s="2">
        <f t="shared" si="36"/>
        <v>44031</v>
      </c>
      <c r="C214" s="1">
        <v>201574</v>
      </c>
      <c r="D214" s="1">
        <v>9084</v>
      </c>
      <c r="E214" s="1">
        <v>187400</v>
      </c>
      <c r="F214" s="1">
        <f>+A!C214-A!D214-A!E214</f>
        <v>5090</v>
      </c>
      <c r="G214" s="1"/>
      <c r="H214" s="4">
        <f>SUM(A!J214:J220)/7*1000000/A!H$3-SUM(A!F214:F220)/7*(1-A!N$3)</f>
        <v>18034.729206349206</v>
      </c>
      <c r="I214" s="7">
        <f>SUM(A!F211:F217)/7</f>
        <v>5002.5714285714284</v>
      </c>
      <c r="J214" s="1">
        <v>267</v>
      </c>
      <c r="K214" s="1">
        <v>-10</v>
      </c>
      <c r="L214" s="1"/>
      <c r="M214" s="4">
        <f>A!D214-A!D215</f>
        <v>1</v>
      </c>
      <c r="N214" s="11">
        <f>SUM(A!P214:P220)/7*A!N$3</f>
        <v>7.9142857142857146</v>
      </c>
      <c r="O214" s="4">
        <f>(SUM(A!M199:M205)/A!O$3*1000-SUM(A!P211:P217))/7+A!N213</f>
        <v>1139.605391823274</v>
      </c>
      <c r="P214" s="4">
        <f t="shared" si="37"/>
        <v>202</v>
      </c>
      <c r="Q214" s="1">
        <f>SUM(A!P211:P217)/7</f>
        <v>439</v>
      </c>
      <c r="S214" s="4"/>
      <c r="T214" s="8"/>
      <c r="U214" s="8"/>
      <c r="V214" s="8"/>
      <c r="W214" s="8"/>
      <c r="Z214" s="10">
        <f t="shared" si="38"/>
        <v>44029</v>
      </c>
      <c r="AA214" s="1">
        <f>AI214*AI$3*2</f>
        <v>1077402</v>
      </c>
      <c r="AB214" s="1">
        <f t="shared" si="41"/>
        <v>5002.5714285714284</v>
      </c>
      <c r="AC214" s="1">
        <f t="shared" si="42"/>
        <v>21119.383681022002</v>
      </c>
      <c r="AD214" s="1">
        <f t="shared" si="43"/>
        <v>16228.590895536126</v>
      </c>
      <c r="AF214" s="10">
        <f t="shared" si="39"/>
        <v>44029</v>
      </c>
      <c r="AG214" s="6">
        <f t="shared" si="44"/>
        <v>0.78842046789626885</v>
      </c>
      <c r="AH214" s="6">
        <f t="shared" si="40"/>
        <v>0.74116142615861669</v>
      </c>
      <c r="AI214" s="6">
        <f>V$34/V$57*AI$4</f>
        <v>0.6321165362646205</v>
      </c>
      <c r="AJ214" s="1"/>
    </row>
    <row r="215" spans="2:36" ht="15.6">
      <c r="B215" s="2">
        <f t="shared" si="36"/>
        <v>44030</v>
      </c>
      <c r="C215" s="1">
        <v>201372</v>
      </c>
      <c r="D215" s="1">
        <v>9083</v>
      </c>
      <c r="E215" s="1">
        <v>187200</v>
      </c>
      <c r="F215" s="1">
        <f>+A!C215-A!D215-A!E215</f>
        <v>5089</v>
      </c>
      <c r="G215" s="1"/>
      <c r="H215" s="4">
        <f>SUM(A!J215:J221)/7*1000000/A!H$3-SUM(A!F215:F221)/7*(1-A!N$3)</f>
        <v>17849.811428571433</v>
      </c>
      <c r="I215" s="7">
        <f>SUM(A!F212:F218)/7</f>
        <v>4938.4285714285716</v>
      </c>
      <c r="J215" s="1">
        <v>249</v>
      </c>
      <c r="K215" s="1">
        <v>0</v>
      </c>
      <c r="L215" s="1"/>
      <c r="M215" s="4">
        <f>A!D215-A!D216</f>
        <v>1</v>
      </c>
      <c r="N215" s="11">
        <f>SUM(A!P215:P221)/7*A!N$3</f>
        <v>8.0457142857142863</v>
      </c>
      <c r="O215" s="4">
        <f>(SUM(A!M200:M206)/A!O$3*1000-SUM(A!P212:P218))/7+A!N214</f>
        <v>787.62794325498601</v>
      </c>
      <c r="P215" s="4">
        <f t="shared" si="37"/>
        <v>529</v>
      </c>
      <c r="Q215" s="1">
        <f>SUM(A!P212:P218)/7</f>
        <v>424.28571428571428</v>
      </c>
      <c r="S215" s="4"/>
      <c r="T215" s="8"/>
      <c r="U215" s="8"/>
      <c r="V215" s="8"/>
      <c r="W215" s="8"/>
      <c r="Z215" s="10">
        <f t="shared" si="38"/>
        <v>44028</v>
      </c>
      <c r="AA215" s="1">
        <f>AI215*AI$3*2</f>
        <v>1077402</v>
      </c>
      <c r="AB215" s="1">
        <f t="shared" si="41"/>
        <v>4938.4285714285716</v>
      </c>
      <c r="AC215" s="1">
        <f t="shared" si="42"/>
        <v>21429.055497443445</v>
      </c>
      <c r="AD215" s="1">
        <f t="shared" si="43"/>
        <v>16807.069363539584</v>
      </c>
      <c r="AF215" s="10">
        <f t="shared" si="39"/>
        <v>44028</v>
      </c>
      <c r="AG215" s="6">
        <f t="shared" si="44"/>
        <v>0.79207874565652148</v>
      </c>
      <c r="AH215" s="6">
        <f t="shared" si="40"/>
        <v>0.74923815797549875</v>
      </c>
      <c r="AI215" s="6">
        <f>V$34/V$57*AI$4</f>
        <v>0.6321165362646205</v>
      </c>
      <c r="AJ215" s="1"/>
    </row>
    <row r="216" spans="2:36" ht="15.6">
      <c r="B216" s="2">
        <f t="shared" si="36"/>
        <v>44029</v>
      </c>
      <c r="C216" s="1">
        <v>200843</v>
      </c>
      <c r="D216" s="1">
        <v>9082</v>
      </c>
      <c r="E216" s="1">
        <v>186900</v>
      </c>
      <c r="F216" s="1">
        <f>+A!C216-A!D216-A!E216</f>
        <v>4861</v>
      </c>
      <c r="G216" s="1"/>
      <c r="H216" s="4">
        <f>SUM(A!J216:J222)/7*1000000/A!H$3-SUM(A!F216:F222)/7*(1-A!N$3)</f>
        <v>18217.085396825398</v>
      </c>
      <c r="I216" s="7">
        <f>SUM(A!F213:F219)/7</f>
        <v>4888.7142857142853</v>
      </c>
      <c r="J216" s="1">
        <v>249</v>
      </c>
      <c r="K216" s="1">
        <v>22</v>
      </c>
      <c r="L216" s="1"/>
      <c r="M216" s="4">
        <f>A!D216-A!D217</f>
        <v>4</v>
      </c>
      <c r="N216" s="11">
        <f>SUM(A!P216:P222)/7*A!N$3</f>
        <v>7.6142857142857148</v>
      </c>
      <c r="O216" s="4">
        <f>(SUM(A!M201:M207)/A!O$3*1000-SUM(A!P213:P219))/7+A!N215</f>
        <v>1169.9082489661309</v>
      </c>
      <c r="P216" s="4">
        <f t="shared" si="37"/>
        <v>583</v>
      </c>
      <c r="Q216" s="1">
        <f>SUM(A!P213:P219)/7</f>
        <v>408.57142857142856</v>
      </c>
      <c r="S216" s="4"/>
      <c r="T216" s="8"/>
      <c r="U216" s="8"/>
      <c r="V216" s="8"/>
      <c r="W216" s="8"/>
      <c r="Z216" s="10">
        <f t="shared" si="38"/>
        <v>44027</v>
      </c>
      <c r="AA216" s="1">
        <f>AI216*AI$3*2</f>
        <v>1077402</v>
      </c>
      <c r="AB216" s="1">
        <f t="shared" si="41"/>
        <v>4888.7142857142853</v>
      </c>
      <c r="AC216" s="1">
        <f t="shared" si="42"/>
        <v>21437.414264230341</v>
      </c>
      <c r="AD216" s="1">
        <f t="shared" si="43"/>
        <v>18460.627881233257</v>
      </c>
      <c r="AF216" s="10">
        <f t="shared" si="39"/>
        <v>44027</v>
      </c>
      <c r="AG216" s="6">
        <f t="shared" si="44"/>
        <v>0.79363439847476236</v>
      </c>
      <c r="AH216" s="6">
        <f t="shared" si="40"/>
        <v>0.76807548351973376</v>
      </c>
      <c r="AI216" s="6">
        <f>V$34/V$57*AI$4</f>
        <v>0.6321165362646205</v>
      </c>
      <c r="AJ216" s="1"/>
    </row>
    <row r="217" spans="2:36" ht="15.6">
      <c r="B217" s="2">
        <f t="shared" si="36"/>
        <v>44028</v>
      </c>
      <c r="C217" s="1">
        <v>200260</v>
      </c>
      <c r="D217" s="1">
        <v>9078</v>
      </c>
      <c r="E217" s="1">
        <v>186400</v>
      </c>
      <c r="F217" s="1">
        <f>+A!C217-A!D217-A!E217</f>
        <v>4782</v>
      </c>
      <c r="G217" s="1"/>
      <c r="H217" s="4">
        <f>SUM(A!J217:J223)/7*1000000/A!H$3-SUM(A!F217:F223)/7*(1-A!N$3)</f>
        <v>18548.519365079363</v>
      </c>
      <c r="I217" s="7">
        <f>SUM(A!F214:F220)/7</f>
        <v>4869</v>
      </c>
      <c r="J217" s="1">
        <v>255</v>
      </c>
      <c r="K217" s="1">
        <v>-7</v>
      </c>
      <c r="L217" s="1"/>
      <c r="M217" s="4">
        <f>A!D217-A!D218</f>
        <v>7</v>
      </c>
      <c r="N217" s="11">
        <f>SUM(A!P217:P223)/7*A!N$3</f>
        <v>7.0771428571428565</v>
      </c>
      <c r="O217" s="4">
        <f>(SUM(A!M202:M208)/A!O$3*1000-SUM(A!P214:P220))/7+A!N216</f>
        <v>1182.3339632518453</v>
      </c>
      <c r="P217" s="4">
        <f t="shared" si="37"/>
        <v>534</v>
      </c>
      <c r="Q217" s="1">
        <f>SUM(A!P214:P220)/7</f>
        <v>395.71428571428572</v>
      </c>
      <c r="S217" s="4"/>
      <c r="T217" s="8"/>
      <c r="U217" s="8"/>
      <c r="V217" s="8"/>
      <c r="W217" s="8"/>
      <c r="Z217" s="10">
        <f t="shared" si="38"/>
        <v>44026</v>
      </c>
      <c r="AA217" s="1">
        <f>AI217*AI$3*2</f>
        <v>1077402</v>
      </c>
      <c r="AB217" s="1">
        <f t="shared" si="41"/>
        <v>4869</v>
      </c>
      <c r="AC217" s="1">
        <f t="shared" si="42"/>
        <v>22098.524004439103</v>
      </c>
      <c r="AD217" s="1">
        <f t="shared" si="43"/>
        <v>19922.220769999774</v>
      </c>
      <c r="AF217" s="10">
        <f t="shared" si="39"/>
        <v>44026</v>
      </c>
      <c r="AG217" s="6">
        <f t="shared" si="44"/>
        <v>0.79772441830291951</v>
      </c>
      <c r="AH217" s="6">
        <f t="shared" si="40"/>
        <v>0.78047851020447268</v>
      </c>
      <c r="AI217" s="6">
        <f>V$34/V$57*AI$4</f>
        <v>0.6321165362646205</v>
      </c>
      <c r="AJ217" s="1"/>
    </row>
    <row r="218" spans="2:36" ht="15.6">
      <c r="B218" s="2">
        <f t="shared" si="36"/>
        <v>44027</v>
      </c>
      <c r="C218" s="1">
        <v>199726</v>
      </c>
      <c r="D218" s="1">
        <v>9071</v>
      </c>
      <c r="E218" s="1">
        <v>186000</v>
      </c>
      <c r="F218" s="1">
        <f>+A!C218-A!D218-A!E218</f>
        <v>4655</v>
      </c>
      <c r="G218" s="1"/>
      <c r="H218" s="4">
        <f>SUM(A!J218:J224)/7*1000000/A!H$3-SUM(A!F218:F224)/7*(1-A!N$3)</f>
        <v>18753.067619047622</v>
      </c>
      <c r="I218" s="7">
        <f>SUM(A!F215:F221)/7</f>
        <v>4876.2857142857147</v>
      </c>
      <c r="J218" s="1">
        <v>248</v>
      </c>
      <c r="K218" s="1">
        <v>13</v>
      </c>
      <c r="L218" s="1"/>
      <c r="M218" s="4">
        <f>A!D218-A!D219</f>
        <v>3</v>
      </c>
      <c r="N218" s="11">
        <f>SUM(A!P218:P224)/7*A!N$3</f>
        <v>6.8142857142857149</v>
      </c>
      <c r="O218" s="4">
        <f>(SUM(A!M203:M209)/A!O$3*1000-SUM(A!P215:P221))/7+A!N217</f>
        <v>1332.2687881484583</v>
      </c>
      <c r="P218" s="4">
        <f t="shared" si="37"/>
        <v>351</v>
      </c>
      <c r="Q218" s="1">
        <f>SUM(A!P215:P221)/7</f>
        <v>402.28571428571428</v>
      </c>
      <c r="S218" s="4"/>
      <c r="T218" s="8"/>
      <c r="U218" s="8"/>
      <c r="V218" s="8"/>
      <c r="W218" s="8"/>
      <c r="Z218" s="10">
        <f t="shared" si="38"/>
        <v>44025</v>
      </c>
      <c r="AA218" s="1">
        <f>AI218*AI$3*2</f>
        <v>1077402</v>
      </c>
      <c r="AB218" s="1">
        <f t="shared" si="41"/>
        <v>4876.2857142857147</v>
      </c>
      <c r="AC218" s="1">
        <f t="shared" si="42"/>
        <v>22359.325515859156</v>
      </c>
      <c r="AD218" s="1">
        <f t="shared" si="43"/>
        <v>21035.929482197851</v>
      </c>
      <c r="AF218" s="10">
        <f t="shared" si="39"/>
        <v>44025</v>
      </c>
      <c r="AG218" s="6">
        <f t="shared" si="44"/>
        <v>0.79958648158274082</v>
      </c>
      <c r="AH218" s="6">
        <f t="shared" si="40"/>
        <v>0.78963061398147172</v>
      </c>
      <c r="AI218" s="6">
        <f>V$34/V$57*AI$4</f>
        <v>0.6321165362646205</v>
      </c>
      <c r="AJ218" s="1" t="str">
        <f>AJ211</f>
        <v>x</v>
      </c>
    </row>
    <row r="219" spans="2:36" ht="15.6">
      <c r="B219" s="2">
        <f t="shared" si="36"/>
        <v>44026</v>
      </c>
      <c r="C219" s="1">
        <v>199375</v>
      </c>
      <c r="D219" s="1">
        <v>9068</v>
      </c>
      <c r="E219" s="1">
        <v>185500</v>
      </c>
      <c r="F219" s="1">
        <f>+A!C219-A!D219-A!E219</f>
        <v>4807</v>
      </c>
      <c r="G219" s="1"/>
      <c r="H219" s="4">
        <f>SUM(A!J219:J225)/7*1000000/A!H$3-SUM(A!F219:F225)/7*(1-A!N$3)</f>
        <v>19234.797777777778</v>
      </c>
      <c r="I219" s="7">
        <f>SUM(A!F216:F222)/7</f>
        <v>4877.2857142857147</v>
      </c>
      <c r="J219" s="1">
        <v>264</v>
      </c>
      <c r="K219" s="1">
        <v>0</v>
      </c>
      <c r="L219" s="1"/>
      <c r="M219" s="4">
        <f>A!D219-A!D220</f>
        <v>4</v>
      </c>
      <c r="N219" s="11">
        <f>SUM(A!P219:P225)/7*A!N$3</f>
        <v>6.9457142857142857</v>
      </c>
      <c r="O219" s="4">
        <f>(SUM(A!M204:M210)/A!O$3*1000-SUM(A!P216:P222))/7+A!N218</f>
        <v>1353.5773595770295</v>
      </c>
      <c r="P219" s="4">
        <f t="shared" si="37"/>
        <v>412</v>
      </c>
      <c r="Q219" s="1">
        <f>SUM(A!P216:P222)/7</f>
        <v>380.71428571428572</v>
      </c>
      <c r="S219" s="4"/>
      <c r="T219" s="8"/>
      <c r="U219" s="8"/>
      <c r="V219" s="8"/>
      <c r="W219" s="8"/>
      <c r="Z219" s="10">
        <f t="shared" si="38"/>
        <v>44024</v>
      </c>
      <c r="AA219" s="1">
        <f>AI219*AI$3*2</f>
        <v>1021102</v>
      </c>
      <c r="AB219" s="1">
        <f t="shared" si="41"/>
        <v>4877.2857142857147</v>
      </c>
      <c r="AC219" s="1">
        <f t="shared" si="42"/>
        <v>22654.899261722323</v>
      </c>
      <c r="AD219" s="1">
        <f t="shared" si="43"/>
        <v>22082.210130831088</v>
      </c>
      <c r="AF219" s="10">
        <f t="shared" si="39"/>
        <v>44024</v>
      </c>
      <c r="AG219" s="6">
        <f t="shared" si="44"/>
        <v>0.80154086455890594</v>
      </c>
      <c r="AH219" s="6">
        <f t="shared" si="40"/>
        <v>0.79743652182390601</v>
      </c>
      <c r="AI219" s="6">
        <f>V$35/V$57*AI$4</f>
        <v>0.5990850763344383</v>
      </c>
      <c r="AJ219" s="1"/>
    </row>
    <row r="220" spans="2:36" ht="15.6">
      <c r="B220" s="2">
        <f t="shared" si="36"/>
        <v>44025</v>
      </c>
      <c r="C220" s="1">
        <v>198963</v>
      </c>
      <c r="D220" s="1">
        <v>9064</v>
      </c>
      <c r="E220" s="1">
        <v>185100</v>
      </c>
      <c r="F220" s="1">
        <f>+A!C220-A!D220-A!E220</f>
        <v>4799</v>
      </c>
      <c r="G220" s="1"/>
      <c r="H220" s="4">
        <f>SUM(A!J220:J226)/7*1000000/A!H$3-SUM(A!F220:F226)/7*(1-A!N$3)</f>
        <v>19608.723809523806</v>
      </c>
      <c r="I220" s="7">
        <f>SUM(A!F217:F223)/7</f>
        <v>4914.8571428571431</v>
      </c>
      <c r="J220" s="1">
        <v>264</v>
      </c>
      <c r="K220" s="1">
        <v>52</v>
      </c>
      <c r="L220" s="1"/>
      <c r="M220" s="4">
        <f>A!D220-A!D221</f>
        <v>1</v>
      </c>
      <c r="N220" s="11">
        <f>SUM(A!P220:P226)/7*A!N$3</f>
        <v>6.8828571428571435</v>
      </c>
      <c r="O220" s="4">
        <f>(SUM(A!M205:M211)/A!O$3*1000-SUM(A!P217:P223))/7+A!N219</f>
        <v>1328.2181322305396</v>
      </c>
      <c r="P220" s="4">
        <f t="shared" si="37"/>
        <v>159</v>
      </c>
      <c r="Q220" s="1">
        <f>SUM(A!P217:P223)/7</f>
        <v>353.85714285714283</v>
      </c>
      <c r="S220" s="4"/>
      <c r="T220" s="8"/>
      <c r="U220" s="8"/>
      <c r="V220" s="8"/>
      <c r="W220" s="8"/>
      <c r="Z220" s="10">
        <f t="shared" si="38"/>
        <v>44023</v>
      </c>
      <c r="AA220" s="1">
        <f>AI220*AI$3*2</f>
        <v>1021102</v>
      </c>
      <c r="AB220" s="1">
        <f t="shared" si="41"/>
        <v>4914.8571428571431</v>
      </c>
      <c r="AC220" s="1">
        <f t="shared" si="42"/>
        <v>23021.970840271344</v>
      </c>
      <c r="AD220" s="1">
        <f t="shared" si="43"/>
        <v>23414.272514108448</v>
      </c>
      <c r="AF220" s="10">
        <f t="shared" si="39"/>
        <v>44023</v>
      </c>
      <c r="AG220" s="6">
        <f t="shared" si="44"/>
        <v>0.80298744742553041</v>
      </c>
      <c r="AH220" s="6">
        <f t="shared" si="40"/>
        <v>0.80564681325372411</v>
      </c>
      <c r="AI220" s="6">
        <f>V$35/V$57*AI$4</f>
        <v>0.5990850763344383</v>
      </c>
      <c r="AJ220" s="1"/>
    </row>
    <row r="221" spans="2:36" ht="15.6">
      <c r="B221" s="2">
        <f t="shared" si="36"/>
        <v>44024</v>
      </c>
      <c r="C221" s="1">
        <v>198804</v>
      </c>
      <c r="D221" s="1">
        <v>9063</v>
      </c>
      <c r="E221" s="1">
        <v>184600</v>
      </c>
      <c r="F221" s="1">
        <f>+A!C221-A!D221-A!E221</f>
        <v>5141</v>
      </c>
      <c r="G221" s="1"/>
      <c r="H221" s="4">
        <f>SUM(A!J221:J227)/7*1000000/A!H$3-SUM(A!F221:F227)/7*(1-A!N$3)</f>
        <v>20053.898730158733</v>
      </c>
      <c r="I221" s="7">
        <f>SUM(A!F218:F224)/7</f>
        <v>4965.2857142857147</v>
      </c>
      <c r="J221" s="1">
        <v>253</v>
      </c>
      <c r="K221" s="1">
        <v>-55</v>
      </c>
      <c r="L221" s="1"/>
      <c r="M221" s="4">
        <f>A!D221-A!D222</f>
        <v>3</v>
      </c>
      <c r="N221" s="11">
        <f>SUM(A!P221:P227)/7*A!N$3</f>
        <v>7.0542857142857143</v>
      </c>
      <c r="O221" s="4">
        <f>(SUM(A!M206:M212)/A!O$3*1000-SUM(A!P218:P224))/7+A!N220</f>
        <v>1341.2981322305395</v>
      </c>
      <c r="P221" s="4">
        <f t="shared" si="37"/>
        <v>248</v>
      </c>
      <c r="Q221" s="1">
        <f>SUM(A!P218:P224)/7</f>
        <v>340.71428571428572</v>
      </c>
      <c r="S221" s="4"/>
      <c r="T221" s="8"/>
      <c r="U221" s="8"/>
      <c r="V221" s="8"/>
      <c r="W221" s="8"/>
      <c r="Z221" s="10">
        <f t="shared" si="38"/>
        <v>44022</v>
      </c>
      <c r="AA221" s="1">
        <f>AI221*AI$3*2</f>
        <v>1021102</v>
      </c>
      <c r="AB221" s="1">
        <f t="shared" si="41"/>
        <v>4965.2857142857147</v>
      </c>
      <c r="AC221" s="1">
        <f t="shared" si="42"/>
        <v>23459.421147709683</v>
      </c>
      <c r="AD221" s="1">
        <f t="shared" si="43"/>
        <v>24800.96912702408</v>
      </c>
      <c r="AF221" s="10">
        <f t="shared" si="39"/>
        <v>44022</v>
      </c>
      <c r="AG221" s="6">
        <f t="shared" si="44"/>
        <v>0.8042785698220859</v>
      </c>
      <c r="AH221" s="6">
        <f t="shared" si="40"/>
        <v>0.81288463944834621</v>
      </c>
      <c r="AI221" s="6">
        <f>V$35/V$57*AI$4</f>
        <v>0.5990850763344383</v>
      </c>
      <c r="AJ221" s="1"/>
    </row>
    <row r="222" spans="2:36" ht="15.6">
      <c r="B222" s="2">
        <f t="shared" ref="B222:B285" si="45">+B223+1</f>
        <v>44023</v>
      </c>
      <c r="C222" s="1">
        <v>198556</v>
      </c>
      <c r="D222" s="1">
        <v>9060</v>
      </c>
      <c r="E222" s="1">
        <v>184400</v>
      </c>
      <c r="F222" s="1">
        <f>+A!C222-A!D222-A!E222</f>
        <v>5096</v>
      </c>
      <c r="G222" s="1"/>
      <c r="H222" s="4">
        <f>SUM(A!J222:J228)/7*1000000/A!H$3-SUM(A!F222:F228)/7*(1-A!N$3)</f>
        <v>20557.84730158731</v>
      </c>
      <c r="I222" s="7">
        <f>SUM(A!F219:F225)/7</f>
        <v>5043.8571428571431</v>
      </c>
      <c r="J222" s="1">
        <v>278</v>
      </c>
      <c r="K222" s="1">
        <v>0</v>
      </c>
      <c r="L222" s="1"/>
      <c r="M222" s="4">
        <f>A!D222-A!D223</f>
        <v>6</v>
      </c>
      <c r="N222" s="11">
        <f>SUM(A!P222:P228)/7*A!N$3</f>
        <v>7.0285714285714294</v>
      </c>
      <c r="O222" s="4">
        <f>(SUM(A!M207:M213)/A!O$3*1000-SUM(A!P219:P225))/7+A!N221</f>
        <v>1439.5937297806627</v>
      </c>
      <c r="P222" s="4">
        <f t="shared" si="37"/>
        <v>378</v>
      </c>
      <c r="Q222" s="1">
        <f>SUM(A!P219:P225)/7</f>
        <v>347.28571428571428</v>
      </c>
      <c r="S222" s="4"/>
      <c r="T222" s="8"/>
      <c r="U222" s="8"/>
      <c r="V222" s="8"/>
      <c r="W222" s="8"/>
      <c r="Z222" s="10">
        <f t="shared" si="38"/>
        <v>44021</v>
      </c>
      <c r="AA222" s="1">
        <f>AI222*AI$3*2</f>
        <v>1021102</v>
      </c>
      <c r="AB222" s="1">
        <f t="shared" si="41"/>
        <v>5043.8571428571431</v>
      </c>
      <c r="AC222" s="1">
        <f t="shared" si="42"/>
        <v>23919.570243131737</v>
      </c>
      <c r="AD222" s="1">
        <f t="shared" si="43"/>
        <v>19246.240529668121</v>
      </c>
      <c r="AF222" s="10">
        <f t="shared" si="39"/>
        <v>44021</v>
      </c>
      <c r="AG222" s="6">
        <f t="shared" si="44"/>
        <v>0.80512491769205918</v>
      </c>
      <c r="AH222" s="6">
        <f t="shared" si="40"/>
        <v>0.7687484057545807</v>
      </c>
      <c r="AI222" s="6">
        <f>V$35/V$57*AI$4</f>
        <v>0.5990850763344383</v>
      </c>
      <c r="AJ222" s="1"/>
    </row>
    <row r="223" spans="2:36" ht="15.6">
      <c r="B223" s="2">
        <f t="shared" si="45"/>
        <v>44022</v>
      </c>
      <c r="C223" s="1">
        <v>198178</v>
      </c>
      <c r="D223" s="1">
        <v>9054</v>
      </c>
      <c r="E223" s="1">
        <v>184000</v>
      </c>
      <c r="F223" s="1">
        <f>+A!C223-A!D223-A!E223</f>
        <v>5124</v>
      </c>
      <c r="G223" s="1"/>
      <c r="H223" s="4">
        <f>SUM(A!J223:J229)/7*1000000/A!H$3-SUM(A!F223:F229)/7*(1-A!N$3)</f>
        <v>20969.183809523805</v>
      </c>
      <c r="I223" s="7">
        <f>SUM(A!F220:F226)/7</f>
        <v>5102.8571428571431</v>
      </c>
      <c r="J223" s="1">
        <v>278</v>
      </c>
      <c r="K223" s="1">
        <v>10</v>
      </c>
      <c r="L223" s="1"/>
      <c r="M223" s="4">
        <f>A!D223-A!D224</f>
        <v>6</v>
      </c>
      <c r="N223" s="11">
        <f>SUM(A!P223:P229)/7*A!N$3</f>
        <v>7.1542857142857148</v>
      </c>
      <c r="O223" s="4">
        <f>(SUM(A!M208:M214)/A!O$3*1000-SUM(A!P220:P226))/7+A!N222</f>
        <v>1495.0586714128669</v>
      </c>
      <c r="P223" s="4">
        <f t="shared" ref="P223:P286" si="46">C223-C224</f>
        <v>395</v>
      </c>
      <c r="Q223" s="1">
        <f>SUM(A!P220:P226)/7</f>
        <v>344.14285714285717</v>
      </c>
      <c r="S223" s="4"/>
      <c r="T223" s="8"/>
      <c r="U223" s="8"/>
      <c r="V223" s="8"/>
      <c r="W223" s="8"/>
      <c r="Z223" s="10">
        <f t="shared" si="38"/>
        <v>44020</v>
      </c>
      <c r="AA223" s="1">
        <f>AI223*AI$3*2</f>
        <v>1021102</v>
      </c>
      <c r="AB223" s="1">
        <f t="shared" si="41"/>
        <v>5102.8571428571431</v>
      </c>
      <c r="AC223" s="1">
        <f t="shared" si="42"/>
        <v>24556.345598027892</v>
      </c>
      <c r="AD223" s="1">
        <f t="shared" si="43"/>
        <v>14351.453383225462</v>
      </c>
      <c r="AF223" s="10">
        <f t="shared" si="39"/>
        <v>44020</v>
      </c>
      <c r="AG223" s="6">
        <f t="shared" si="44"/>
        <v>0.80719636735330591</v>
      </c>
      <c r="AH223" s="6">
        <f t="shared" si="40"/>
        <v>0.70987471833764559</v>
      </c>
      <c r="AI223" s="6">
        <f>V$35/V$57*AI$4</f>
        <v>0.5990850763344383</v>
      </c>
      <c r="AJ223" s="1"/>
    </row>
    <row r="224" spans="2:36" ht="15.6">
      <c r="B224" s="2">
        <f t="shared" si="45"/>
        <v>44021</v>
      </c>
      <c r="C224" s="1">
        <v>197783</v>
      </c>
      <c r="D224" s="1">
        <v>9048</v>
      </c>
      <c r="E224" s="1">
        <v>183600</v>
      </c>
      <c r="F224" s="1">
        <f>+A!C224-A!D224-A!E224</f>
        <v>5135</v>
      </c>
      <c r="G224" s="1"/>
      <c r="H224" s="4">
        <f>SUM(A!J224:J230)/7*1000000/A!H$3-SUM(A!F224:F230)/7*(1-A!N$3)</f>
        <v>21400.540317460313</v>
      </c>
      <c r="I224" s="7">
        <f>SUM(A!F221:F227)/7</f>
        <v>5179.8571428571431</v>
      </c>
      <c r="J224" s="1">
        <v>275</v>
      </c>
      <c r="K224" s="1">
        <v>-12</v>
      </c>
      <c r="L224" s="1"/>
      <c r="M224" s="4">
        <f>A!D224-A!D225</f>
        <v>12</v>
      </c>
      <c r="N224" s="11">
        <f>SUM(A!P224:P230)/7*A!N$3</f>
        <v>7.3</v>
      </c>
      <c r="O224" s="4">
        <f>(SUM(A!M209:M215)/A!O$3*1000-SUM(A!P221:P227))/7+A!N223</f>
        <v>1172.5261644767836</v>
      </c>
      <c r="P224" s="4">
        <f t="shared" si="46"/>
        <v>442</v>
      </c>
      <c r="Q224" s="1">
        <f>SUM(A!P221:P227)/7</f>
        <v>352.71428571428572</v>
      </c>
      <c r="S224" s="4"/>
      <c r="T224" s="8"/>
      <c r="U224" s="8"/>
      <c r="V224" s="8"/>
      <c r="W224" s="8"/>
      <c r="Z224" s="10">
        <f t="shared" si="38"/>
        <v>44019</v>
      </c>
      <c r="AA224" s="1">
        <f>AI224*AI$3*2</f>
        <v>1021102</v>
      </c>
      <c r="AB224" s="1">
        <f t="shared" si="41"/>
        <v>5179.8571428571431</v>
      </c>
      <c r="AC224" s="1">
        <f t="shared" si="42"/>
        <v>24997.991745709463</v>
      </c>
      <c r="AD224" s="1">
        <f t="shared" si="43"/>
        <v>15155.583274413353</v>
      </c>
      <c r="AF224" s="10">
        <f t="shared" si="39"/>
        <v>44019</v>
      </c>
      <c r="AG224" s="6">
        <f t="shared" si="44"/>
        <v>0.80687786506721382</v>
      </c>
      <c r="AH224" s="6">
        <f t="shared" si="40"/>
        <v>0.71695821120407388</v>
      </c>
      <c r="AI224" s="6">
        <f>V$35/V$57*AI$4</f>
        <v>0.5990850763344383</v>
      </c>
      <c r="AJ224" s="1"/>
    </row>
    <row r="225" spans="2:36" ht="15.6">
      <c r="B225" s="2">
        <f t="shared" si="45"/>
        <v>44020</v>
      </c>
      <c r="C225" s="1">
        <v>197341</v>
      </c>
      <c r="D225" s="1">
        <v>9036</v>
      </c>
      <c r="E225" s="1">
        <v>183100</v>
      </c>
      <c r="F225" s="1">
        <f>+A!C225-A!D225-A!E225</f>
        <v>5205</v>
      </c>
      <c r="G225" s="1"/>
      <c r="H225" s="4">
        <f>SUM(A!J225:J231)/7*1000000/A!H$3-SUM(A!F225:F231)/7*(1-A!N$3)</f>
        <v>21974.394603174602</v>
      </c>
      <c r="I225" s="7">
        <f>SUM(A!F222:F228)/7</f>
        <v>5248.7142857142853</v>
      </c>
      <c r="J225" s="1">
        <v>292</v>
      </c>
      <c r="K225" s="1">
        <v>-25</v>
      </c>
      <c r="L225" s="1"/>
      <c r="M225" s="4">
        <f>A!D225-A!D226</f>
        <v>12</v>
      </c>
      <c r="N225" s="11">
        <f>SUM(A!P225:P231)/7*A!N$3</f>
        <v>7.4742857142857142</v>
      </c>
      <c r="O225" s="4">
        <f>(SUM(A!M210:M216)/A!O$3*1000-SUM(A!P222:P228))/7+A!N224</f>
        <v>859.87080039784314</v>
      </c>
      <c r="P225" s="4">
        <f t="shared" si="46"/>
        <v>397</v>
      </c>
      <c r="Q225" s="1">
        <f>SUM(A!P222:P228)/7</f>
        <v>351.42857142857144</v>
      </c>
      <c r="S225" s="4"/>
      <c r="T225" s="8"/>
      <c r="U225" s="8"/>
      <c r="V225" s="8"/>
      <c r="W225" s="8"/>
      <c r="Z225" s="10">
        <f t="shared" si="38"/>
        <v>44018</v>
      </c>
      <c r="AA225" s="1">
        <f>AI225*AI$3*2</f>
        <v>1021102</v>
      </c>
      <c r="AB225" s="1">
        <f t="shared" si="41"/>
        <v>5248.7142857142853</v>
      </c>
      <c r="AC225" s="1">
        <f t="shared" si="42"/>
        <v>25420.496857863403</v>
      </c>
      <c r="AD225" s="1">
        <f t="shared" si="43"/>
        <v>13221.203244623113</v>
      </c>
      <c r="AF225" s="10">
        <f t="shared" si="39"/>
        <v>44018</v>
      </c>
      <c r="AG225" s="6">
        <f t="shared" si="44"/>
        <v>0.80710796118912986</v>
      </c>
      <c r="AH225" s="6">
        <f t="shared" si="40"/>
        <v>0.68516108151991717</v>
      </c>
      <c r="AI225" s="6">
        <f>V$35/V$57*AI$4</f>
        <v>0.5990850763344383</v>
      </c>
      <c r="AJ225" s="1" t="str">
        <f>AJ218</f>
        <v>x</v>
      </c>
    </row>
    <row r="226" spans="2:36" ht="15.6">
      <c r="B226" s="2">
        <f t="shared" si="45"/>
        <v>44019</v>
      </c>
      <c r="C226" s="1">
        <v>196944</v>
      </c>
      <c r="D226" s="1">
        <v>9024</v>
      </c>
      <c r="E226" s="1">
        <v>182700</v>
      </c>
      <c r="F226" s="1">
        <f>+A!C226-A!D226-A!E226</f>
        <v>5220</v>
      </c>
      <c r="G226" s="1"/>
      <c r="H226" s="4">
        <f>SUM(A!J226:J232)/7*1000000/A!H$3-SUM(A!F226:F232)/7*(1-A!N$3)</f>
        <v>22341.335873015869</v>
      </c>
      <c r="I226" s="7">
        <f>SUM(A!F223:F229)/7</f>
        <v>5347.2857142857147</v>
      </c>
      <c r="J226" s="1">
        <v>298</v>
      </c>
      <c r="K226" s="1">
        <v>37</v>
      </c>
      <c r="L226" s="1"/>
      <c r="M226" s="4">
        <f>A!D226-A!D227</f>
        <v>8</v>
      </c>
      <c r="N226" s="11">
        <f>SUM(A!P226:P232)/7*A!N$3</f>
        <v>7.6714285714285708</v>
      </c>
      <c r="O226" s="4">
        <f>(SUM(A!M211:M217)/A!O$3*1000-SUM(A!P223:P229))/7+A!N225</f>
        <v>906.10717060147635</v>
      </c>
      <c r="P226" s="4">
        <f t="shared" si="46"/>
        <v>390</v>
      </c>
      <c r="Q226" s="1">
        <f>SUM(A!P223:P229)/7</f>
        <v>357.71428571428572</v>
      </c>
      <c r="S226" s="4"/>
      <c r="T226" s="8"/>
      <c r="U226" s="8"/>
      <c r="V226" s="8"/>
      <c r="W226" s="8"/>
      <c r="Z226" s="10">
        <f t="shared" si="38"/>
        <v>44017</v>
      </c>
      <c r="AA226" s="1">
        <f>AI226*AI$3*2</f>
        <v>1015326</v>
      </c>
      <c r="AB226" s="1">
        <f t="shared" si="41"/>
        <v>5347.2857142857147</v>
      </c>
      <c r="AC226" s="1">
        <f t="shared" si="42"/>
        <v>25402.481778144549</v>
      </c>
      <c r="AD226" s="1">
        <f t="shared" si="43"/>
        <v>12949.008761010045</v>
      </c>
      <c r="AF226" s="10">
        <f t="shared" si="39"/>
        <v>44017</v>
      </c>
      <c r="AG226" s="6">
        <f t="shared" si="44"/>
        <v>0.80489714630916698</v>
      </c>
      <c r="AH226" s="6">
        <f t="shared" si="40"/>
        <v>0.67773015637119416</v>
      </c>
      <c r="AI226" s="6">
        <f>V$36/V$57*AI$4</f>
        <v>0.59569627149328852</v>
      </c>
      <c r="AJ226" s="1"/>
    </row>
    <row r="227" spans="2:36" ht="15.6">
      <c r="B227" s="2">
        <f t="shared" si="45"/>
        <v>44018</v>
      </c>
      <c r="C227" s="1">
        <v>196554</v>
      </c>
      <c r="D227" s="1">
        <v>9016</v>
      </c>
      <c r="E227" s="1">
        <v>182200</v>
      </c>
      <c r="F227" s="1">
        <f>+A!C227-A!D227-A!E227</f>
        <v>5338</v>
      </c>
      <c r="G227" s="1"/>
      <c r="H227" s="4">
        <f>SUM(A!J227:J233)/7*1000000/A!H$3-SUM(A!F227:F233)/7*(1-A!N$3)</f>
        <v>22701.333968253974</v>
      </c>
      <c r="I227" s="7">
        <f>SUM(A!F224:F230)/7</f>
        <v>5425.4285714285716</v>
      </c>
      <c r="J227" s="1">
        <v>305</v>
      </c>
      <c r="K227" s="1">
        <v>-14</v>
      </c>
      <c r="L227" s="1"/>
      <c r="M227" s="4">
        <f>A!D227-A!D228</f>
        <v>4</v>
      </c>
      <c r="N227" s="11">
        <f>SUM(A!P227:P233)/7*A!N$3</f>
        <v>7.98</v>
      </c>
      <c r="O227" s="4">
        <f>(SUM(A!M212:M218)/A!O$3*1000-SUM(A!P224:P230))/7+A!N226</f>
        <v>794.32300162278182</v>
      </c>
      <c r="P227" s="4">
        <f t="shared" si="46"/>
        <v>219</v>
      </c>
      <c r="Q227" s="1">
        <f>SUM(A!P224:P230)/7</f>
        <v>365</v>
      </c>
      <c r="S227" s="4"/>
      <c r="T227" s="8"/>
      <c r="U227" s="8"/>
      <c r="V227" s="8"/>
      <c r="W227" s="8"/>
      <c r="Z227" s="10">
        <f t="shared" si="38"/>
        <v>44016</v>
      </c>
      <c r="AA227" s="1">
        <f>AI227*AI$3*2</f>
        <v>1015326</v>
      </c>
      <c r="AB227" s="1">
        <f t="shared" si="41"/>
        <v>5425.4285714285716</v>
      </c>
      <c r="AC227" s="1">
        <f t="shared" si="42"/>
        <v>26140.205408138019</v>
      </c>
      <c r="AD227" s="1">
        <f t="shared" si="43"/>
        <v>11838.007980427969</v>
      </c>
      <c r="AF227" s="10">
        <f t="shared" si="39"/>
        <v>44016</v>
      </c>
      <c r="AG227" s="6">
        <f t="shared" si="44"/>
        <v>0.80646421326789464</v>
      </c>
      <c r="AH227" s="6">
        <f t="shared" si="40"/>
        <v>0.65363090874769347</v>
      </c>
      <c r="AI227" s="6">
        <f>V$36/V$57*AI$4</f>
        <v>0.59569627149328852</v>
      </c>
      <c r="AJ227" s="1"/>
    </row>
    <row r="228" spans="2:36" ht="15.6">
      <c r="B228" s="2">
        <f t="shared" si="45"/>
        <v>44017</v>
      </c>
      <c r="C228" s="1">
        <v>196335</v>
      </c>
      <c r="D228" s="1">
        <v>9012</v>
      </c>
      <c r="E228" s="1">
        <v>181700</v>
      </c>
      <c r="F228" s="1">
        <f>+A!C228-A!D228-A!E228</f>
        <v>5623</v>
      </c>
      <c r="G228" s="1"/>
      <c r="H228" s="4">
        <f>SUM(A!J228:J234)/7*1000000/A!H$3-SUM(A!F228:F234)/7*(1-A!N$3)</f>
        <v>22853.511111111111</v>
      </c>
      <c r="I228" s="7">
        <f>SUM(A!F225:F231)/7</f>
        <v>5539.5714285714284</v>
      </c>
      <c r="J228" s="1">
        <v>298</v>
      </c>
      <c r="K228" s="1">
        <v>-1</v>
      </c>
      <c r="L228" s="1"/>
      <c r="M228" s="4">
        <f>A!D228-A!D229</f>
        <v>2</v>
      </c>
      <c r="N228" s="11">
        <f>SUM(A!P228:P234)/7*A!N$3</f>
        <v>8.1028571428571432</v>
      </c>
      <c r="O228" s="4">
        <f>(SUM(A!M213:M219)/A!O$3*1000-SUM(A!P225:P231))/7+A!N227</f>
        <v>785.91728733706759</v>
      </c>
      <c r="P228" s="4">
        <f t="shared" si="46"/>
        <v>239</v>
      </c>
      <c r="Q228" s="1">
        <f>SUM(A!P225:P231)/7</f>
        <v>373.71428571428572</v>
      </c>
      <c r="S228" s="4"/>
      <c r="T228" s="8"/>
      <c r="U228" s="8"/>
      <c r="V228" s="8"/>
      <c r="W228" s="8"/>
      <c r="Z228" s="10">
        <f t="shared" si="38"/>
        <v>44015</v>
      </c>
      <c r="AA228" s="1">
        <f>AI228*AI$3*2</f>
        <v>1015326</v>
      </c>
      <c r="AB228" s="1">
        <f t="shared" si="41"/>
        <v>5539.5714285714284</v>
      </c>
      <c r="AC228" s="1">
        <f t="shared" si="42"/>
        <v>26474.316989640458</v>
      </c>
      <c r="AD228" s="1">
        <f t="shared" si="43"/>
        <v>13018.855832936037</v>
      </c>
      <c r="AF228" s="10">
        <f t="shared" si="39"/>
        <v>44015</v>
      </c>
      <c r="AG228" s="6">
        <f t="shared" si="44"/>
        <v>0.80560971738187914</v>
      </c>
      <c r="AH228" s="6">
        <f t="shared" si="40"/>
        <v>0.67083303507365322</v>
      </c>
      <c r="AI228" s="6">
        <f>V$36/V$57*AI$4</f>
        <v>0.59569627149328852</v>
      </c>
      <c r="AJ228" s="1"/>
    </row>
    <row r="229" spans="2:36" ht="15.6">
      <c r="B229" s="2">
        <f t="shared" si="45"/>
        <v>44016</v>
      </c>
      <c r="C229" s="1">
        <v>196096</v>
      </c>
      <c r="D229" s="1">
        <v>9010</v>
      </c>
      <c r="E229" s="1">
        <v>181300</v>
      </c>
      <c r="F229" s="1">
        <f>+A!C229-A!D229-A!E229</f>
        <v>5786</v>
      </c>
      <c r="G229" s="1"/>
      <c r="H229" s="4">
        <f>SUM(A!J229:J235)/7*1000000/A!H$3-SUM(A!F229:F235)/7*(1-A!N$3)</f>
        <v>23520.946349206351</v>
      </c>
      <c r="I229" s="7">
        <f>SUM(A!F226:F232)/7</f>
        <v>5644.5714285714284</v>
      </c>
      <c r="J229" s="1">
        <v>318</v>
      </c>
      <c r="K229" s="1">
        <v>0</v>
      </c>
      <c r="L229" s="1"/>
      <c r="M229" s="4">
        <f>A!D229-A!D230</f>
        <v>7</v>
      </c>
      <c r="N229" s="11">
        <f>SUM(A!P229:P235)/7*A!N$3</f>
        <v>8.1514285714285712</v>
      </c>
      <c r="O229" s="4">
        <f>(SUM(A!M214:M220)/A!O$3*1000-SUM(A!P226:P232))/7+A!N228</f>
        <v>723.83520284772021</v>
      </c>
      <c r="P229" s="4">
        <f t="shared" si="46"/>
        <v>422</v>
      </c>
      <c r="Q229" s="1">
        <f>SUM(A!P226:P232)/7</f>
        <v>383.57142857142856</v>
      </c>
      <c r="S229" s="4"/>
      <c r="T229" s="8"/>
      <c r="U229" s="8"/>
      <c r="V229" s="8"/>
      <c r="W229" s="8"/>
      <c r="Z229" s="10">
        <f t="shared" si="38"/>
        <v>44014</v>
      </c>
      <c r="AA229" s="1">
        <f>AI229*AI$3*2</f>
        <v>1015326</v>
      </c>
      <c r="AB229" s="1">
        <f t="shared" si="41"/>
        <v>5644.5714285714284</v>
      </c>
      <c r="AC229" s="1">
        <f t="shared" si="42"/>
        <v>26684.399409830334</v>
      </c>
      <c r="AD229" s="1">
        <f t="shared" si="43"/>
        <v>17233.496984226334</v>
      </c>
      <c r="AF229" s="10">
        <f t="shared" si="39"/>
        <v>44014</v>
      </c>
      <c r="AG229" s="6">
        <f t="shared" si="44"/>
        <v>0.80343999017575773</v>
      </c>
      <c r="AH229" s="6">
        <f t="shared" si="40"/>
        <v>0.72526111373392399</v>
      </c>
      <c r="AI229" s="6">
        <f>V$36/V$57*AI$4</f>
        <v>0.59569627149328852</v>
      </c>
      <c r="AJ229" s="1"/>
    </row>
    <row r="230" spans="2:36" ht="15.6">
      <c r="B230" s="2">
        <f t="shared" si="45"/>
        <v>44015</v>
      </c>
      <c r="C230" s="1">
        <v>195674</v>
      </c>
      <c r="D230" s="1">
        <v>9003</v>
      </c>
      <c r="E230" s="1">
        <v>181000</v>
      </c>
      <c r="F230" s="1">
        <f>+A!C230-A!D230-A!E230</f>
        <v>5671</v>
      </c>
      <c r="G230" s="1"/>
      <c r="H230" s="4">
        <f>SUM(A!J230:J236)/7*1000000/A!H$3-SUM(A!F230:F236)/7*(1-A!N$3)</f>
        <v>23964.653333333332</v>
      </c>
      <c r="I230" s="7">
        <f>SUM(A!F227:F233)/7</f>
        <v>5782.5714285714284</v>
      </c>
      <c r="J230" s="1">
        <v>318</v>
      </c>
      <c r="K230" s="1">
        <v>4</v>
      </c>
      <c r="L230" s="1"/>
      <c r="M230" s="4">
        <f>A!D230-A!D231</f>
        <v>9</v>
      </c>
      <c r="N230" s="11">
        <f>SUM(A!P230:P236)/7*A!N$3</f>
        <v>8.9085714285714293</v>
      </c>
      <c r="O230" s="4">
        <f>(SUM(A!M215:M221)/A!O$3*1000-SUM(A!P227:P233))/7+A!N229</f>
        <v>813.15080039784323</v>
      </c>
      <c r="P230" s="4">
        <f t="shared" si="46"/>
        <v>446</v>
      </c>
      <c r="Q230" s="1">
        <f>SUM(A!P227:P233)/7</f>
        <v>399</v>
      </c>
      <c r="S230" s="4"/>
      <c r="T230" s="8"/>
      <c r="U230" s="8"/>
      <c r="V230" s="8"/>
      <c r="W230" s="8"/>
      <c r="Z230" s="10">
        <f t="shared" si="38"/>
        <v>44013</v>
      </c>
      <c r="AA230" s="1">
        <f>AI230*AI$3*2</f>
        <v>1015326</v>
      </c>
      <c r="AB230" s="1">
        <f t="shared" si="41"/>
        <v>5782.5714285714284</v>
      </c>
      <c r="AC230" s="1">
        <f t="shared" si="42"/>
        <v>27135.90283935994</v>
      </c>
      <c r="AD230" s="1">
        <f t="shared" si="43"/>
        <v>19378.196938964949</v>
      </c>
      <c r="AF230" s="10">
        <f t="shared" si="39"/>
        <v>44013</v>
      </c>
      <c r="AG230" s="6">
        <f t="shared" si="44"/>
        <v>0.8010452692026192</v>
      </c>
      <c r="AH230" s="6">
        <f t="shared" si="40"/>
        <v>0.74195048647895623</v>
      </c>
      <c r="AI230" s="6">
        <f>V$36/V$57*AI$4</f>
        <v>0.59569627149328852</v>
      </c>
      <c r="AJ230" s="1"/>
    </row>
    <row r="231" spans="2:36" ht="15.6">
      <c r="B231" s="2">
        <f t="shared" si="45"/>
        <v>44014</v>
      </c>
      <c r="C231" s="1">
        <v>195228</v>
      </c>
      <c r="D231" s="1">
        <v>8994</v>
      </c>
      <c r="E231" s="1">
        <v>180300</v>
      </c>
      <c r="F231" s="1">
        <f>+A!C231-A!D231-A!E231</f>
        <v>5934</v>
      </c>
      <c r="G231" s="1"/>
      <c r="H231" s="4">
        <f>SUM(A!J231:J237)/7*1000000/A!H$3-SUM(A!F231:F237)/7*(1-A!N$3)</f>
        <v>24431.600317460314</v>
      </c>
      <c r="I231" s="7">
        <f>SUM(A!F228:F234)/7</f>
        <v>5977.1428571428569</v>
      </c>
      <c r="J231" s="1">
        <v>329</v>
      </c>
      <c r="K231" s="1">
        <v>0</v>
      </c>
      <c r="L231" s="1"/>
      <c r="M231" s="4">
        <f>A!D231-A!D232</f>
        <v>9</v>
      </c>
      <c r="N231" s="11">
        <f>SUM(A!P231:P237)/7*A!N$3</f>
        <v>8.9971428571428564</v>
      </c>
      <c r="O231" s="4">
        <f>(SUM(A!M216:M222)/A!O$3*1000-SUM(A!P228:P234))/7+A!N230</f>
        <v>1069.5040799874364</v>
      </c>
      <c r="P231" s="4">
        <f t="shared" si="46"/>
        <v>503</v>
      </c>
      <c r="Q231" s="1">
        <f>SUM(A!P228:P234)/7</f>
        <v>405.14285714285717</v>
      </c>
      <c r="S231" s="4"/>
      <c r="T231" s="8"/>
      <c r="U231" s="8"/>
      <c r="V231" s="8"/>
      <c r="W231" s="8"/>
      <c r="Z231" s="10">
        <f t="shared" si="38"/>
        <v>44012</v>
      </c>
      <c r="AA231" s="1">
        <f>AI231*AI$3*2</f>
        <v>1015326</v>
      </c>
      <c r="AB231" s="1">
        <f t="shared" si="41"/>
        <v>5977.1428571428569</v>
      </c>
      <c r="AC231" s="1">
        <f t="shared" si="42"/>
        <v>27346.008025170893</v>
      </c>
      <c r="AD231" s="1">
        <f t="shared" si="43"/>
        <v>21797.675979659489</v>
      </c>
      <c r="AF231" s="10">
        <f t="shared" si="39"/>
        <v>44012</v>
      </c>
      <c r="AG231" s="6">
        <f t="shared" si="44"/>
        <v>0.79724624075373574</v>
      </c>
      <c r="AH231" s="6">
        <f t="shared" si="40"/>
        <v>0.75812077122776356</v>
      </c>
      <c r="AI231" s="6">
        <f>V$36/V$57*AI$4</f>
        <v>0.59569627149328852</v>
      </c>
      <c r="AJ231" s="1"/>
    </row>
    <row r="232" spans="2:36" ht="15.6">
      <c r="B232" s="2">
        <f t="shared" si="45"/>
        <v>44013</v>
      </c>
      <c r="C232" s="1">
        <v>194725</v>
      </c>
      <c r="D232" s="1">
        <v>8985</v>
      </c>
      <c r="E232" s="1">
        <v>179800</v>
      </c>
      <c r="F232" s="1">
        <f>+A!C232-A!D232-A!E232</f>
        <v>5940</v>
      </c>
      <c r="G232" s="1"/>
      <c r="H232" s="4">
        <f>SUM(A!J232:J238)/7*1000000/A!H$3-SUM(A!F232:F238)/7*(1-A!N$3)</f>
        <v>24766.731111111108</v>
      </c>
      <c r="I232" s="7">
        <f>SUM(A!F229:F235)/7</f>
        <v>6151.2857142857147</v>
      </c>
      <c r="J232" s="1">
        <v>329</v>
      </c>
      <c r="K232" s="1">
        <v>-4</v>
      </c>
      <c r="L232" s="1"/>
      <c r="M232" s="4">
        <f>A!D232-A!D233</f>
        <v>12</v>
      </c>
      <c r="N232" s="11">
        <f>SUM(A!P232:P238)/7*A!N$3</f>
        <v>9.36</v>
      </c>
      <c r="O232" s="4">
        <f>(SUM(A!M217:M223)/A!O$3*1000-SUM(A!P229:P235))/7+A!N231</f>
        <v>1171.8596775375595</v>
      </c>
      <c r="P232" s="4">
        <f t="shared" si="46"/>
        <v>466</v>
      </c>
      <c r="Q232" s="1">
        <f>SUM(A!P229:P235)/7</f>
        <v>407.57142857142856</v>
      </c>
      <c r="S232" s="4"/>
      <c r="T232" s="8"/>
      <c r="U232" s="8"/>
      <c r="V232" s="8"/>
      <c r="W232" s="8"/>
      <c r="Z232" s="10">
        <f t="shared" si="38"/>
        <v>44011</v>
      </c>
      <c r="AA232" s="1">
        <f>AI232*AI$3*2</f>
        <v>1015326</v>
      </c>
      <c r="AB232" s="1">
        <f t="shared" si="41"/>
        <v>6151.2857142857147</v>
      </c>
      <c r="AC232" s="1">
        <f t="shared" si="42"/>
        <v>27466.40225080842</v>
      </c>
      <c r="AD232" s="1">
        <f t="shared" si="43"/>
        <v>29493.295273261079</v>
      </c>
      <c r="AF232" s="10">
        <f t="shared" si="39"/>
        <v>44011</v>
      </c>
      <c r="AG232" s="6">
        <f t="shared" si="44"/>
        <v>0.79411250972229919</v>
      </c>
      <c r="AH232" s="6">
        <f t="shared" si="40"/>
        <v>0.80550997855598405</v>
      </c>
      <c r="AI232" s="6">
        <f>V$36/V$57*AI$4</f>
        <v>0.59569627149328852</v>
      </c>
      <c r="AJ232" s="1" t="str">
        <f>AJ225</f>
        <v>x</v>
      </c>
    </row>
    <row r="233" spans="2:36" ht="15.6">
      <c r="B233" s="2">
        <f t="shared" si="45"/>
        <v>44012</v>
      </c>
      <c r="C233" s="1">
        <v>194259</v>
      </c>
      <c r="D233" s="1">
        <v>8973</v>
      </c>
      <c r="E233" s="1">
        <v>179100</v>
      </c>
      <c r="F233" s="1">
        <f>+A!C233-A!D233-A!E233</f>
        <v>6186</v>
      </c>
      <c r="G233" s="1"/>
      <c r="H233" s="4">
        <f>SUM(A!J233:J239)/7*1000000/A!H$3-SUM(A!F233:F239)/7*(1-A!N$3)</f>
        <v>24750.827936507936</v>
      </c>
      <c r="I233" s="7">
        <f>SUM(A!F230:F236)/7</f>
        <v>6294.5714285714284</v>
      </c>
      <c r="J233" s="1">
        <v>337</v>
      </c>
      <c r="K233" s="1">
        <v>28</v>
      </c>
      <c r="L233" s="1"/>
      <c r="M233" s="4">
        <f>A!D233-A!D234</f>
        <v>12</v>
      </c>
      <c r="N233" s="11">
        <f>SUM(A!P233:P239)/7*A!N$3</f>
        <v>9.7057142857142864</v>
      </c>
      <c r="O233" s="4">
        <f>(SUM(A!M218:M224)/A!O$3*1000-SUM(A!P230:P236))/7+A!N232</f>
        <v>1396.1043856985812</v>
      </c>
      <c r="P233" s="4">
        <f t="shared" si="46"/>
        <v>498</v>
      </c>
      <c r="Q233" s="1">
        <f>SUM(A!P230:P236)/7</f>
        <v>445.42857142857144</v>
      </c>
      <c r="S233" s="4"/>
      <c r="T233" s="8"/>
      <c r="U233" s="8"/>
      <c r="V233" s="8"/>
      <c r="W233" s="8"/>
      <c r="Z233" s="10">
        <f t="shared" si="38"/>
        <v>44010</v>
      </c>
      <c r="AA233" s="1">
        <f>AI233*AI$3*2</f>
        <v>934826.00000000012</v>
      </c>
      <c r="AB233" s="1">
        <f t="shared" si="41"/>
        <v>6294.5714285714284</v>
      </c>
      <c r="AC233" s="1">
        <f t="shared" si="42"/>
        <v>27930.281752143903</v>
      </c>
      <c r="AD233" s="1">
        <f t="shared" si="43"/>
        <v>31712.983282855104</v>
      </c>
      <c r="AF233" s="10">
        <f t="shared" si="39"/>
        <v>44010</v>
      </c>
      <c r="AG233" s="6">
        <f t="shared" si="44"/>
        <v>0.7944993713495565</v>
      </c>
      <c r="AH233" s="6">
        <f t="shared" si="40"/>
        <v>0.81446347162107857</v>
      </c>
      <c r="AI233" s="6">
        <f>V$37/V$57*AI$4</f>
        <v>0.54846656413308137</v>
      </c>
      <c r="AJ233" s="1"/>
    </row>
    <row r="234" spans="2:36" ht="15.6">
      <c r="B234" s="2">
        <f t="shared" si="45"/>
        <v>44011</v>
      </c>
      <c r="C234" s="1">
        <v>193761</v>
      </c>
      <c r="D234" s="1">
        <v>8961</v>
      </c>
      <c r="E234" s="1">
        <v>178100</v>
      </c>
      <c r="F234" s="1">
        <f>+A!C234-A!D234-A!E234</f>
        <v>6700</v>
      </c>
      <c r="G234" s="1"/>
      <c r="H234" s="4">
        <f>SUM(A!J234:J240)/7*1000000/A!H$3-SUM(A!F234:F240)/7*(1-A!N$3)</f>
        <v>24739.487936507936</v>
      </c>
      <c r="I234" s="7">
        <f>SUM(A!F231:F237)/7</f>
        <v>6414.1428571428569</v>
      </c>
      <c r="J234" s="1">
        <v>332</v>
      </c>
      <c r="K234" s="1">
        <v>9</v>
      </c>
      <c r="L234" s="1"/>
      <c r="M234" s="4">
        <f>A!D234-A!D235</f>
        <v>4</v>
      </c>
      <c r="N234" s="11">
        <f>SUM(A!P234:P240)/7*A!N$3</f>
        <v>9.7200000000000006</v>
      </c>
      <c r="O234" s="4">
        <f>(SUM(A!M219:M225)/A!O$3*1000-SUM(A!P231:P237))/7+A!N233</f>
        <v>1863.1517175312781</v>
      </c>
      <c r="P234" s="4">
        <f t="shared" si="46"/>
        <v>262</v>
      </c>
      <c r="Q234" s="1">
        <f>SUM(A!P231:P237)/7</f>
        <v>449.85714285714283</v>
      </c>
      <c r="S234" s="4"/>
      <c r="T234" s="8"/>
      <c r="U234" s="8"/>
      <c r="V234" s="8"/>
      <c r="W234" s="8"/>
      <c r="Z234" s="10">
        <f t="shared" si="38"/>
        <v>44009</v>
      </c>
      <c r="AA234" s="1">
        <f>AI234*AI$3*2</f>
        <v>934826.00000000012</v>
      </c>
      <c r="AB234" s="1">
        <f t="shared" si="41"/>
        <v>6414.1428571428569</v>
      </c>
      <c r="AC234" s="1">
        <f t="shared" si="42"/>
        <v>28420.71091556942</v>
      </c>
      <c r="AD234" s="1">
        <f t="shared" si="43"/>
        <v>33115.625259362554</v>
      </c>
      <c r="AF234" s="10">
        <f t="shared" si="39"/>
        <v>44009</v>
      </c>
      <c r="AG234" s="6">
        <f t="shared" si="44"/>
        <v>0.79515657791305994</v>
      </c>
      <c r="AH234" s="6">
        <f t="shared" si="40"/>
        <v>0.81893968849833487</v>
      </c>
      <c r="AI234" s="6">
        <f>V$37/V$57*AI$4</f>
        <v>0.54846656413308137</v>
      </c>
      <c r="AJ234" s="1"/>
    </row>
    <row r="235" spans="2:36" ht="15.6">
      <c r="B235" s="2">
        <f t="shared" si="45"/>
        <v>44010</v>
      </c>
      <c r="C235" s="1">
        <v>193499</v>
      </c>
      <c r="D235" s="1">
        <v>8957</v>
      </c>
      <c r="E235" s="1">
        <v>177700</v>
      </c>
      <c r="F235" s="1">
        <f>+A!C235-A!D235-A!E235</f>
        <v>6842</v>
      </c>
      <c r="G235" s="1"/>
      <c r="H235" s="4">
        <f>SUM(A!J235:J241)/7*1000000/A!H$3-SUM(A!F235:F241)/7*(1-A!N$3)</f>
        <v>25029.000952380953</v>
      </c>
      <c r="I235" s="7">
        <f>SUM(A!F232:F238)/7</f>
        <v>6473.8571428571431</v>
      </c>
      <c r="J235" s="1">
        <v>364</v>
      </c>
      <c r="K235" s="1">
        <v>0</v>
      </c>
      <c r="L235" s="1"/>
      <c r="M235" s="4">
        <f>A!D235-A!D236</f>
        <v>3</v>
      </c>
      <c r="N235" s="11">
        <f>SUM(A!P235:P241)/7*A!N$3</f>
        <v>10.505714285714287</v>
      </c>
      <c r="O235" s="4">
        <f>(SUM(A!M220:M226)/A!O$3*1000-SUM(A!P232:P238))/7+A!N234</f>
        <v>2054.4143412029525</v>
      </c>
      <c r="P235" s="4">
        <f t="shared" si="46"/>
        <v>256</v>
      </c>
      <c r="Q235" s="1">
        <f>SUM(A!P232:P238)/7</f>
        <v>468</v>
      </c>
      <c r="S235" s="4"/>
      <c r="T235" s="8"/>
      <c r="U235" s="8"/>
      <c r="V235" s="8"/>
      <c r="W235" s="8"/>
      <c r="Z235" s="10">
        <f t="shared" ref="Z235:Z296" si="47">AF235</f>
        <v>44008</v>
      </c>
      <c r="AA235" s="1">
        <f>AI235*AI$3*2</f>
        <v>934826.00000000012</v>
      </c>
      <c r="AB235" s="1">
        <f t="shared" si="41"/>
        <v>6473.8571428571431</v>
      </c>
      <c r="AC235" s="1">
        <f t="shared" si="42"/>
        <v>28904.256160274643</v>
      </c>
      <c r="AD235" s="1">
        <f t="shared" si="43"/>
        <v>32475.745829268068</v>
      </c>
      <c r="AF235" s="10">
        <f t="shared" ref="AF235:AF296" si="48">B237</f>
        <v>44008</v>
      </c>
      <c r="AG235" s="6">
        <f t="shared" si="44"/>
        <v>0.79694487199701236</v>
      </c>
      <c r="AH235" s="6">
        <f t="shared" ref="AH235:AH296" si="49">O237/(O237+Q237)</f>
        <v>0.81514777151724915</v>
      </c>
      <c r="AI235" s="6">
        <f>V$37/V$57*AI$4</f>
        <v>0.54846656413308137</v>
      </c>
      <c r="AJ235" s="1"/>
    </row>
    <row r="236" spans="2:36" ht="15.6">
      <c r="B236" s="2">
        <f t="shared" si="45"/>
        <v>44009</v>
      </c>
      <c r="C236" s="1">
        <v>193243</v>
      </c>
      <c r="D236" s="1">
        <v>8954</v>
      </c>
      <c r="E236" s="1">
        <v>177500</v>
      </c>
      <c r="F236" s="1">
        <f>+A!C236-A!D236-A!E236</f>
        <v>6789</v>
      </c>
      <c r="G236" s="1"/>
      <c r="H236" s="4">
        <f>SUM(A!J236:J242)/7*1000000/A!H$3-SUM(A!F236:F242)/7*(1-A!N$3)</f>
        <v>25293.66190476191</v>
      </c>
      <c r="I236" s="7">
        <f>SUM(A!F233:F239)/7</f>
        <v>6516</v>
      </c>
      <c r="J236" s="1">
        <v>364</v>
      </c>
      <c r="K236" s="1">
        <v>0</v>
      </c>
      <c r="L236" s="1"/>
      <c r="M236" s="4">
        <f>A!D236-A!D237</f>
        <v>6</v>
      </c>
      <c r="N236" s="11">
        <f>SUM(A!P236:P242)/7*A!N$3</f>
        <v>11.737142857142858</v>
      </c>
      <c r="O236" s="4">
        <f>(SUM(A!M221:M227)/A!O$3*1000-SUM(A!P233:P239))/7+A!N235</f>
        <v>2194.9577375281369</v>
      </c>
      <c r="P236" s="4">
        <f t="shared" si="46"/>
        <v>687</v>
      </c>
      <c r="Q236" s="1">
        <f>SUM(A!P233:P239)/7</f>
        <v>485.28571428571428</v>
      </c>
      <c r="S236" s="4"/>
      <c r="T236" s="8"/>
      <c r="U236" s="8"/>
      <c r="V236" s="8"/>
      <c r="W236" s="8"/>
      <c r="Z236" s="10">
        <f t="shared" si="47"/>
        <v>44007</v>
      </c>
      <c r="AA236" s="1">
        <f>AI236*AI$3*2</f>
        <v>934826.00000000012</v>
      </c>
      <c r="AB236" s="1">
        <f t="shared" ref="AB236:AB296" si="50">I236</f>
        <v>6516</v>
      </c>
      <c r="AC236" s="1">
        <f t="shared" ref="AC236:AC296" si="51">SUM(F233:F240)/7/(1-AG236)*AG236</f>
        <v>29801.731502962019</v>
      </c>
      <c r="AD236" s="1">
        <f t="shared" ref="AD236:AD296" si="52">SUM(F233:F240)/7/(1-AH236)*AH236</f>
        <v>30418.327532404339</v>
      </c>
      <c r="AF236" s="10">
        <f t="shared" si="48"/>
        <v>44007</v>
      </c>
      <c r="AG236" s="6">
        <f t="shared" ref="AG236:AG296" si="53">H238/(H238+I238)</f>
        <v>0.80084157994986005</v>
      </c>
      <c r="AH236" s="6">
        <f t="shared" si="49"/>
        <v>0.80408772180788357</v>
      </c>
      <c r="AI236" s="6">
        <f>V$37/V$57*AI$4</f>
        <v>0.54846656413308137</v>
      </c>
      <c r="AJ236" s="1"/>
    </row>
    <row r="237" spans="2:36" ht="15.6">
      <c r="B237" s="2">
        <f t="shared" si="45"/>
        <v>44008</v>
      </c>
      <c r="C237" s="1">
        <v>192556</v>
      </c>
      <c r="D237" s="1">
        <v>8948</v>
      </c>
      <c r="E237" s="1">
        <v>177100</v>
      </c>
      <c r="F237" s="1">
        <f>+A!C237-A!D237-A!E237</f>
        <v>6508</v>
      </c>
      <c r="G237" s="1"/>
      <c r="H237" s="4">
        <f>SUM(A!J237:J243)/7*1000000/A!H$3-SUM(A!F237:F243)/7*(1-A!N$3)</f>
        <v>25619.222857142864</v>
      </c>
      <c r="I237" s="7">
        <f>SUM(A!F234:F240)/7</f>
        <v>6527.5714285714284</v>
      </c>
      <c r="J237" s="1">
        <v>364</v>
      </c>
      <c r="K237" s="1">
        <v>1</v>
      </c>
      <c r="L237" s="1"/>
      <c r="M237" s="4">
        <f>A!D237-A!D238</f>
        <v>21</v>
      </c>
      <c r="N237" s="11">
        <f>SUM(A!P237:P243)/7*A!N$3</f>
        <v>11.491428571428571</v>
      </c>
      <c r="O237" s="4">
        <f>(SUM(A!M222:M228)/A!O$3*1000-SUM(A!P234:P240))/7+A!N236</f>
        <v>2143.1270816102183</v>
      </c>
      <c r="P237" s="4">
        <f t="shared" si="46"/>
        <v>477</v>
      </c>
      <c r="Q237" s="1">
        <f>SUM(A!P234:P240)/7</f>
        <v>486</v>
      </c>
      <c r="S237" s="4"/>
      <c r="T237" s="8"/>
      <c r="U237" s="8"/>
      <c r="V237" s="8"/>
      <c r="W237" s="8"/>
      <c r="Z237" s="10">
        <f t="shared" si="47"/>
        <v>44006</v>
      </c>
      <c r="AA237" s="1">
        <f>AI237*AI$3*2</f>
        <v>934826.00000000012</v>
      </c>
      <c r="AB237" s="1">
        <f t="shared" si="50"/>
        <v>6527.5714285714284</v>
      </c>
      <c r="AC237" s="1">
        <f t="shared" si="51"/>
        <v>31120.605287050617</v>
      </c>
      <c r="AD237" s="1">
        <f t="shared" si="52"/>
        <v>28436.607511023511</v>
      </c>
      <c r="AF237" s="10">
        <f t="shared" si="48"/>
        <v>44006</v>
      </c>
      <c r="AG237" s="6">
        <f t="shared" si="53"/>
        <v>0.80769433051763762</v>
      </c>
      <c r="AH237" s="6">
        <f t="shared" si="49"/>
        <v>0.79329536235766063</v>
      </c>
      <c r="AI237" s="6">
        <f>V$37/V$57*AI$4</f>
        <v>0.54846656413308137</v>
      </c>
      <c r="AJ237" s="1"/>
    </row>
    <row r="238" spans="2:36" ht="15.6">
      <c r="B238" s="2">
        <f t="shared" si="45"/>
        <v>44007</v>
      </c>
      <c r="C238" s="1">
        <v>192079</v>
      </c>
      <c r="D238" s="1">
        <v>8927</v>
      </c>
      <c r="E238" s="1">
        <v>176800</v>
      </c>
      <c r="F238" s="1">
        <f>+A!C238-A!D238-A!E238</f>
        <v>6352</v>
      </c>
      <c r="G238" s="1"/>
      <c r="H238" s="4">
        <f>SUM(A!J238:J244)/7*1000000/A!H$3-SUM(A!F238:F244)/7*(1-A!N$3)</f>
        <v>25946.043809523806</v>
      </c>
      <c r="I238" s="7">
        <f>SUM(A!F235:F241)/7</f>
        <v>6452.4285714285716</v>
      </c>
      <c r="J238" s="1">
        <v>360</v>
      </c>
      <c r="K238" s="1">
        <v>97</v>
      </c>
      <c r="L238" s="1"/>
      <c r="M238" s="4">
        <f>A!D238-A!D239</f>
        <v>13</v>
      </c>
      <c r="N238" s="11">
        <f>SUM(A!P238:P244)/7*A!N$3</f>
        <v>12.328571428571429</v>
      </c>
      <c r="O238" s="4">
        <f>(SUM(A!M223:M229)/A!O$3*1000-SUM(A!P235:P241))/7+A!N237</f>
        <v>2155.943451813851</v>
      </c>
      <c r="P238" s="4">
        <f t="shared" si="46"/>
        <v>630</v>
      </c>
      <c r="Q238" s="1">
        <f>SUM(A!P235:P241)/7</f>
        <v>525.28571428571433</v>
      </c>
      <c r="S238" s="4"/>
      <c r="T238" s="8"/>
      <c r="U238" s="8"/>
      <c r="V238" s="8"/>
      <c r="W238" s="8"/>
      <c r="Z238" s="10">
        <f t="shared" si="47"/>
        <v>44005</v>
      </c>
      <c r="AA238" s="1">
        <f>AI238*AI$3*2</f>
        <v>934826.00000000012</v>
      </c>
      <c r="AB238" s="1">
        <f t="shared" si="50"/>
        <v>6452.4285714285716</v>
      </c>
      <c r="AC238" s="1">
        <f t="shared" si="51"/>
        <v>32982.811991480492</v>
      </c>
      <c r="AD238" s="1">
        <f t="shared" si="52"/>
        <v>26830.227512226451</v>
      </c>
      <c r="AF238" s="10">
        <f t="shared" si="48"/>
        <v>44005</v>
      </c>
      <c r="AG238" s="6">
        <f t="shared" si="53"/>
        <v>0.81847069388491311</v>
      </c>
      <c r="AH238" s="6">
        <f t="shared" si="49"/>
        <v>0.78576143618758709</v>
      </c>
      <c r="AI238" s="6">
        <f>V$37/V$57*AI$4</f>
        <v>0.54846656413308137</v>
      </c>
      <c r="AJ238" s="1"/>
    </row>
    <row r="239" spans="2:36" ht="15.6">
      <c r="B239" s="2">
        <f t="shared" si="45"/>
        <v>44006</v>
      </c>
      <c r="C239" s="1">
        <v>191449</v>
      </c>
      <c r="D239" s="1">
        <v>8914</v>
      </c>
      <c r="E239" s="1">
        <v>176300</v>
      </c>
      <c r="F239" s="1">
        <f>+A!C239-A!D239-A!E239</f>
        <v>6235</v>
      </c>
      <c r="G239" s="1"/>
      <c r="H239" s="4">
        <f>SUM(A!J239:J245)/7*1000000/A!H$3-SUM(A!F239:F245)/7*(1-A!N$3)</f>
        <v>26619.346666666668</v>
      </c>
      <c r="I239" s="7">
        <f>SUM(A!F236:F242)/7</f>
        <v>6337.8571428571431</v>
      </c>
      <c r="J239" s="1">
        <v>331</v>
      </c>
      <c r="K239" s="1">
        <v>4</v>
      </c>
      <c r="L239" s="1"/>
      <c r="M239" s="4">
        <f>A!D239-A!D240</f>
        <v>19</v>
      </c>
      <c r="N239" s="11">
        <f>SUM(A!P239:P245)/7*A!N$3</f>
        <v>12.185714285714287</v>
      </c>
      <c r="O239" s="4">
        <f>(SUM(A!M224:M230)/A!O$3*1000-SUM(A!P236:P242))/7+A!N238</f>
        <v>2252.2525624247505</v>
      </c>
      <c r="P239" s="4">
        <f t="shared" si="46"/>
        <v>587</v>
      </c>
      <c r="Q239" s="1">
        <f>SUM(A!P236:P242)/7</f>
        <v>586.85714285714289</v>
      </c>
      <c r="S239" s="4"/>
      <c r="T239" s="8"/>
      <c r="U239" s="8"/>
      <c r="V239" s="8"/>
      <c r="W239" s="8"/>
      <c r="Z239" s="10">
        <f t="shared" si="47"/>
        <v>44004</v>
      </c>
      <c r="AA239" s="1">
        <f>AI239*AI$3*2</f>
        <v>934826.00000000012</v>
      </c>
      <c r="AB239" s="1">
        <f t="shared" si="50"/>
        <v>6337.8571428571431</v>
      </c>
      <c r="AC239" s="1">
        <f t="shared" si="51"/>
        <v>34571.065222450372</v>
      </c>
      <c r="AD239" s="1">
        <f t="shared" si="52"/>
        <v>23886.163129592584</v>
      </c>
      <c r="AF239" s="10">
        <f t="shared" si="48"/>
        <v>44004</v>
      </c>
      <c r="AG239" s="6">
        <f t="shared" si="53"/>
        <v>0.82900127459008877</v>
      </c>
      <c r="AH239" s="6">
        <f t="shared" si="49"/>
        <v>0.77009502867151258</v>
      </c>
      <c r="AI239" s="6">
        <f>V$37/V$57*AI$4</f>
        <v>0.54846656413308137</v>
      </c>
      <c r="AJ239" s="1" t="str">
        <f>AJ232</f>
        <v>x</v>
      </c>
    </row>
    <row r="240" spans="2:36" ht="15.6">
      <c r="B240" s="2">
        <f t="shared" si="45"/>
        <v>44005</v>
      </c>
      <c r="C240" s="1">
        <v>190862</v>
      </c>
      <c r="D240" s="1">
        <v>8895</v>
      </c>
      <c r="E240" s="1">
        <v>175700</v>
      </c>
      <c r="F240" s="1">
        <f>+A!C240-A!D240-A!E240</f>
        <v>6267</v>
      </c>
      <c r="G240" s="1"/>
      <c r="H240" s="4">
        <f>SUM(A!J240:J246)/7*1000000/A!H$3-SUM(A!F240:F246)/7*(1-A!N$3)</f>
        <v>27779.067619047619</v>
      </c>
      <c r="I240" s="7">
        <f>SUM(A!F237:F243)/7</f>
        <v>6161.1428571428569</v>
      </c>
      <c r="J240" s="1">
        <v>337</v>
      </c>
      <c r="K240" s="1">
        <v>1</v>
      </c>
      <c r="L240" s="1"/>
      <c r="M240" s="4">
        <f>A!D240-A!D241</f>
        <v>10</v>
      </c>
      <c r="N240" s="11">
        <f>SUM(A!P240:P246)/7*A!N$3</f>
        <v>11.494285714285713</v>
      </c>
      <c r="O240" s="4">
        <f>(SUM(A!M225:M231)/A!O$3*1000-SUM(A!P237:P243))/7+A!N239</f>
        <v>2107.3520232424225</v>
      </c>
      <c r="P240" s="4">
        <f t="shared" si="46"/>
        <v>503</v>
      </c>
      <c r="Q240" s="1">
        <f>SUM(A!P237:P243)/7</f>
        <v>574.57142857142856</v>
      </c>
      <c r="S240" s="4"/>
      <c r="T240" s="8"/>
      <c r="U240" s="8"/>
      <c r="V240" s="8"/>
      <c r="W240" s="8"/>
      <c r="Z240" s="10">
        <f t="shared" si="47"/>
        <v>44003</v>
      </c>
      <c r="AA240" s="1">
        <f>AI240*AI$3*2</f>
        <v>776374</v>
      </c>
      <c r="AB240" s="1">
        <f t="shared" si="50"/>
        <v>6161.1428571428569</v>
      </c>
      <c r="AC240" s="1">
        <f t="shared" si="51"/>
        <v>36139.425538721618</v>
      </c>
      <c r="AD240" s="1">
        <f t="shared" si="52"/>
        <v>25879.634156731288</v>
      </c>
      <c r="AF240" s="10">
        <f t="shared" si="48"/>
        <v>44003</v>
      </c>
      <c r="AG240" s="6">
        <f t="shared" si="53"/>
        <v>0.83943111230626988</v>
      </c>
      <c r="AH240" s="6">
        <f t="shared" si="49"/>
        <v>0.78919390174713855</v>
      </c>
      <c r="AI240" s="6">
        <f>V$38/V$57*AI$4</f>
        <v>0.45550207232389434</v>
      </c>
      <c r="AJ240" s="1"/>
    </row>
    <row r="241" spans="2:48" ht="15.6">
      <c r="B241" s="2">
        <f t="shared" si="45"/>
        <v>44004</v>
      </c>
      <c r="C241" s="1">
        <v>190359</v>
      </c>
      <c r="D241" s="1">
        <v>8885</v>
      </c>
      <c r="E241" s="1">
        <v>175300</v>
      </c>
      <c r="F241" s="1">
        <f>+A!C241-A!D241-A!E241</f>
        <v>6174</v>
      </c>
      <c r="G241" s="1"/>
      <c r="H241" s="4">
        <f>SUM(A!J241:J247)/7*1000000/A!H$3-SUM(A!F241:F247)/7*(1-A!N$3)</f>
        <v>29006.257460317462</v>
      </c>
      <c r="I241" s="7">
        <f>SUM(A!F238:F244)/7</f>
        <v>5983.1428571428569</v>
      </c>
      <c r="J241" s="1">
        <v>349</v>
      </c>
      <c r="K241" s="1">
        <v>0</v>
      </c>
      <c r="L241" s="1"/>
      <c r="M241" s="4">
        <f>A!D241-A!D242</f>
        <v>3</v>
      </c>
      <c r="N241" s="11">
        <f>SUM(A!P241:P247)/7*A!N$3</f>
        <v>11.137142857142859</v>
      </c>
      <c r="O241" s="4">
        <f>(SUM(A!M226:M232)/A!O$3*1000-SUM(A!P238:P244))/7+A!N240</f>
        <v>2064.8034518138511</v>
      </c>
      <c r="P241" s="4">
        <f t="shared" si="46"/>
        <v>537</v>
      </c>
      <c r="Q241" s="1">
        <f>SUM(A!P238:P244)/7</f>
        <v>616.42857142857144</v>
      </c>
      <c r="S241" s="4"/>
      <c r="T241" s="8"/>
      <c r="U241" s="8"/>
      <c r="V241" s="8"/>
      <c r="W241" s="8"/>
      <c r="Z241" s="10">
        <f t="shared" si="47"/>
        <v>44002</v>
      </c>
      <c r="AA241" s="1">
        <f>AI241*AI$3*2</f>
        <v>776374</v>
      </c>
      <c r="AB241" s="1">
        <f t="shared" si="50"/>
        <v>5983.1428571428569</v>
      </c>
      <c r="AC241" s="1">
        <f t="shared" si="51"/>
        <v>37028.057180602387</v>
      </c>
      <c r="AD241" s="1">
        <f t="shared" si="52"/>
        <v>26862.314209400749</v>
      </c>
      <c r="AF241" s="10">
        <f t="shared" si="48"/>
        <v>44002</v>
      </c>
      <c r="AG241" s="6">
        <f t="shared" si="53"/>
        <v>0.84736163503944473</v>
      </c>
      <c r="AH241" s="6">
        <f t="shared" si="49"/>
        <v>0.8010873941372626</v>
      </c>
      <c r="AI241" s="6">
        <f>V$38/V$57*AI$4</f>
        <v>0.45550207232389434</v>
      </c>
      <c r="AJ241" s="1"/>
    </row>
    <row r="242" spans="2:48" ht="15.6">
      <c r="B242" s="2">
        <f t="shared" si="45"/>
        <v>44003</v>
      </c>
      <c r="C242" s="1">
        <v>189822</v>
      </c>
      <c r="D242" s="1">
        <v>8882</v>
      </c>
      <c r="E242" s="1">
        <v>174900</v>
      </c>
      <c r="F242" s="1">
        <f>+A!C242-A!D242-A!E242</f>
        <v>6040</v>
      </c>
      <c r="G242" s="1"/>
      <c r="H242" s="4">
        <f>SUM(A!J242:J248)/7*1000000/A!H$3-SUM(A!F242:F248)/7*(1-A!N$3)</f>
        <v>30125.896825396827</v>
      </c>
      <c r="I242" s="7">
        <f>SUM(A!F239:F245)/7</f>
        <v>5762.5714285714284</v>
      </c>
      <c r="J242" s="1">
        <v>376</v>
      </c>
      <c r="K242" s="1">
        <v>-49</v>
      </c>
      <c r="L242" s="1"/>
      <c r="M242" s="4">
        <f>A!D242-A!D243</f>
        <v>-1</v>
      </c>
      <c r="N242" s="11">
        <f>SUM(A!P242:P248)/7*A!N$3</f>
        <v>10.151428571428571</v>
      </c>
      <c r="O242" s="4">
        <f>(SUM(A!M227:M233)/A!O$3*1000-SUM(A!P239:P245))/7+A!N241</f>
        <v>2280.9803611998118</v>
      </c>
      <c r="P242" s="4">
        <f t="shared" si="46"/>
        <v>687</v>
      </c>
      <c r="Q242" s="1">
        <f>SUM(A!P239:P245)/7</f>
        <v>609.28571428571433</v>
      </c>
      <c r="S242" s="4"/>
      <c r="T242" s="8"/>
      <c r="U242" s="8"/>
      <c r="V242" s="8"/>
      <c r="W242" s="8"/>
      <c r="Z242" s="10">
        <f t="shared" si="47"/>
        <v>44001</v>
      </c>
      <c r="AA242" s="1">
        <f>AI242*AI$3*2</f>
        <v>776374</v>
      </c>
      <c r="AB242" s="1">
        <f t="shared" si="50"/>
        <v>5762.5714285714284</v>
      </c>
      <c r="AC242" s="1">
        <f t="shared" si="51"/>
        <v>37961.855475964207</v>
      </c>
      <c r="AD242" s="1">
        <f t="shared" si="52"/>
        <v>27572.449363303847</v>
      </c>
      <c r="AF242" s="10">
        <f t="shared" si="48"/>
        <v>44001</v>
      </c>
      <c r="AG242" s="6">
        <f t="shared" si="53"/>
        <v>0.85492800870992891</v>
      </c>
      <c r="AH242" s="6">
        <f t="shared" si="49"/>
        <v>0.81061670802244656</v>
      </c>
      <c r="AI242" s="6">
        <f>V$38/V$57*AI$4</f>
        <v>0.45550207232389434</v>
      </c>
      <c r="AJ242" s="1"/>
    </row>
    <row r="243" spans="2:48" ht="15.6">
      <c r="B243" s="2">
        <f t="shared" si="45"/>
        <v>44002</v>
      </c>
      <c r="C243" s="1">
        <v>189135</v>
      </c>
      <c r="D243" s="1">
        <v>8883</v>
      </c>
      <c r="E243" s="1">
        <v>174700</v>
      </c>
      <c r="F243" s="1">
        <f>+A!C243-A!D243-A!E243</f>
        <v>5552</v>
      </c>
      <c r="G243" s="1"/>
      <c r="H243" s="4">
        <f>SUM(A!J243:J249)/7*1000000/A!H$3-SUM(A!F243:F249)/7*(1-A!N$3)</f>
        <v>30816.003809523801</v>
      </c>
      <c r="I243" s="7">
        <f>SUM(A!F240:F246)/7</f>
        <v>5551</v>
      </c>
      <c r="J243" s="1">
        <v>376</v>
      </c>
      <c r="K243" s="1">
        <v>0</v>
      </c>
      <c r="L243" s="1"/>
      <c r="M243" s="4">
        <f>A!D243-A!D244</f>
        <v>11</v>
      </c>
      <c r="N243" s="11">
        <f>SUM(A!P243:P249)/7*A!N$3</f>
        <v>8.894285714285715</v>
      </c>
      <c r="O243" s="4">
        <f>(SUM(A!M228:M234)/A!O$3*1000-SUM(A!P240:P246))/7+A!N242</f>
        <v>2314.5660754855257</v>
      </c>
      <c r="P243" s="4">
        <f t="shared" si="46"/>
        <v>601</v>
      </c>
      <c r="Q243" s="1">
        <f>SUM(A!P240:P246)/7</f>
        <v>574.71428571428567</v>
      </c>
      <c r="S243" s="4"/>
      <c r="T243" s="8"/>
      <c r="U243" s="8"/>
      <c r="V243" s="8"/>
      <c r="W243" s="8"/>
      <c r="Z243" s="10">
        <f t="shared" si="47"/>
        <v>44000</v>
      </c>
      <c r="AA243" s="1">
        <f>AI243*AI$3*2</f>
        <v>776374</v>
      </c>
      <c r="AB243" s="1">
        <f t="shared" si="50"/>
        <v>5551</v>
      </c>
      <c r="AC243" s="1">
        <f t="shared" si="51"/>
        <v>39064.08112153913</v>
      </c>
      <c r="AD243" s="1">
        <f t="shared" si="52"/>
        <v>29333.69218502468</v>
      </c>
      <c r="AF243" s="10">
        <f t="shared" si="48"/>
        <v>44000</v>
      </c>
      <c r="AG243" s="6">
        <f t="shared" si="53"/>
        <v>0.86194877883424992</v>
      </c>
      <c r="AH243" s="6">
        <f t="shared" si="49"/>
        <v>0.82420553282495757</v>
      </c>
      <c r="AI243" s="6">
        <f>V$38/V$57*AI$4</f>
        <v>0.45550207232389434</v>
      </c>
      <c r="AJ243" s="1"/>
    </row>
    <row r="244" spans="2:48" ht="15.6">
      <c r="B244" s="2">
        <f t="shared" si="45"/>
        <v>44001</v>
      </c>
      <c r="C244" s="1">
        <v>188534</v>
      </c>
      <c r="D244" s="1">
        <v>8872</v>
      </c>
      <c r="E244" s="1">
        <v>174400</v>
      </c>
      <c r="F244" s="1">
        <f>+A!C244-A!D244-A!E244</f>
        <v>5262</v>
      </c>
      <c r="G244" s="1"/>
      <c r="H244" s="4">
        <f>SUM(A!J244:J250)/7*1000000/A!H$3-SUM(A!F244:F250)/7*(1-A!N$3)</f>
        <v>31594.750158730156</v>
      </c>
      <c r="I244" s="7">
        <f>SUM(A!F241:F247)/7</f>
        <v>5361.2857142857147</v>
      </c>
      <c r="J244" s="1">
        <v>376</v>
      </c>
      <c r="K244" s="1">
        <v>-6</v>
      </c>
      <c r="L244" s="1"/>
      <c r="M244" s="4">
        <f>A!D244-A!D245</f>
        <v>16</v>
      </c>
      <c r="N244" s="11">
        <f>SUM(A!P244:P250)/7*A!N$3</f>
        <v>8.1714285714285708</v>
      </c>
      <c r="O244" s="4">
        <f>(SUM(A!M229:M235)/A!O$3*1000-SUM(A!P241:P247))/7+A!N243</f>
        <v>2383.5138742605873</v>
      </c>
      <c r="P244" s="4">
        <f t="shared" si="46"/>
        <v>770</v>
      </c>
      <c r="Q244" s="1">
        <f>SUM(A!P241:P247)/7</f>
        <v>556.85714285714289</v>
      </c>
      <c r="S244" s="4"/>
      <c r="T244" s="8"/>
      <c r="U244" s="8"/>
      <c r="V244" s="8"/>
      <c r="W244" s="8"/>
      <c r="Z244" s="10">
        <f t="shared" si="47"/>
        <v>43999</v>
      </c>
      <c r="AA244" s="1">
        <f>AI244*AI$3*2</f>
        <v>776374</v>
      </c>
      <c r="AB244" s="1">
        <f t="shared" si="50"/>
        <v>5361.2857142857147</v>
      </c>
      <c r="AC244" s="1">
        <f t="shared" si="51"/>
        <v>39694.596523485539</v>
      </c>
      <c r="AD244" s="1">
        <f t="shared" si="52"/>
        <v>42000.955521492288</v>
      </c>
      <c r="AF244" s="10">
        <f t="shared" si="48"/>
        <v>43999</v>
      </c>
      <c r="AG244" s="6">
        <f t="shared" si="53"/>
        <v>0.86706970068470457</v>
      </c>
      <c r="AH244" s="6">
        <f t="shared" si="49"/>
        <v>0.87344539490466644</v>
      </c>
      <c r="AI244" s="6">
        <f>V$38/V$57*AI$4</f>
        <v>0.45550207232389434</v>
      </c>
      <c r="AJ244" s="1"/>
    </row>
    <row r="245" spans="2:48" ht="15.6">
      <c r="B245" s="2">
        <f t="shared" si="45"/>
        <v>44000</v>
      </c>
      <c r="C245" s="1">
        <v>187764</v>
      </c>
      <c r="D245" s="1">
        <v>8856</v>
      </c>
      <c r="E245" s="1">
        <v>174100</v>
      </c>
      <c r="F245" s="1">
        <f>+A!C245-A!D245-A!E245</f>
        <v>4808</v>
      </c>
      <c r="G245" s="1"/>
      <c r="H245" s="4">
        <f>SUM(A!J245:J251)/7*1000000/A!H$3-SUM(A!F245:F251)/7*(1-A!N$3)</f>
        <v>32489.477460317463</v>
      </c>
      <c r="I245" s="7">
        <f>SUM(A!F242:F248)/7</f>
        <v>5203.5714285714284</v>
      </c>
      <c r="J245" s="1">
        <v>396</v>
      </c>
      <c r="K245" s="1">
        <v>0</v>
      </c>
      <c r="L245" s="1"/>
      <c r="M245" s="4">
        <f>A!D245-A!D246</f>
        <v>26</v>
      </c>
      <c r="N245" s="11">
        <f>SUM(A!P245:P251)/7*A!N$3</f>
        <v>6.7085714285714291</v>
      </c>
      <c r="O245" s="4">
        <f>(SUM(A!M230:M236)/A!O$3*1000-SUM(A!P242:P248))/7+A!N244</f>
        <v>2379.7289326283826</v>
      </c>
      <c r="P245" s="4">
        <f t="shared" si="46"/>
        <v>580</v>
      </c>
      <c r="Q245" s="1">
        <f>SUM(A!P242:P248)/7</f>
        <v>507.57142857142856</v>
      </c>
      <c r="S245" s="4"/>
      <c r="T245" s="8"/>
      <c r="U245" s="8"/>
      <c r="V245" s="8"/>
      <c r="W245" s="8"/>
      <c r="Z245" s="10">
        <f t="shared" si="47"/>
        <v>43998</v>
      </c>
      <c r="AA245" s="1">
        <f>AI245*AI$3*2</f>
        <v>776374</v>
      </c>
      <c r="AB245" s="1">
        <f t="shared" si="50"/>
        <v>5203.5714285714284</v>
      </c>
      <c r="AC245" s="1">
        <f t="shared" si="51"/>
        <v>40268.559593659375</v>
      </c>
      <c r="AD245" s="1">
        <f t="shared" si="52"/>
        <v>48339.855312747371</v>
      </c>
      <c r="AF245" s="10">
        <f t="shared" si="48"/>
        <v>43998</v>
      </c>
      <c r="AG245" s="6">
        <f t="shared" si="53"/>
        <v>0.87110767186049676</v>
      </c>
      <c r="AH245" s="6">
        <f t="shared" si="49"/>
        <v>0.89026722459394514</v>
      </c>
      <c r="AI245" s="6">
        <f>V$38/V$57*AI$4</f>
        <v>0.45550207232389434</v>
      </c>
      <c r="AJ245" s="1"/>
    </row>
    <row r="246" spans="2:48" ht="15.6">
      <c r="B246" s="2">
        <f t="shared" si="45"/>
        <v>43999</v>
      </c>
      <c r="C246" s="1">
        <v>187184</v>
      </c>
      <c r="D246" s="1">
        <v>8830</v>
      </c>
      <c r="E246" s="1">
        <v>173600</v>
      </c>
      <c r="F246" s="1">
        <f>+A!C246-A!D246-A!E246</f>
        <v>4754</v>
      </c>
      <c r="G246" s="1"/>
      <c r="H246" s="4">
        <f>SUM(A!J246:J252)/7*1000000/A!H$3-SUM(A!F246:F252)/7*(1-A!N$3)</f>
        <v>33236.15269841269</v>
      </c>
      <c r="I246" s="7">
        <f>SUM(A!F243:F249)/7</f>
        <v>5095.4285714285716</v>
      </c>
      <c r="J246" s="1">
        <v>406</v>
      </c>
      <c r="K246" s="1">
        <v>2</v>
      </c>
      <c r="L246" s="1"/>
      <c r="M246" s="4">
        <f>A!D246-A!D247</f>
        <v>30</v>
      </c>
      <c r="N246" s="11">
        <f>SUM(A!P246:P252)/7*A!N$3</f>
        <v>6.637142857142857</v>
      </c>
      <c r="O246" s="4">
        <f>(SUM(A!M231:M237)/A!O$3*1000-SUM(A!P243:P249))/7+A!N245</f>
        <v>3069.2968036434063</v>
      </c>
      <c r="P246" s="4">
        <f t="shared" si="46"/>
        <v>345</v>
      </c>
      <c r="Q246" s="1">
        <f>SUM(A!P243:P249)/7</f>
        <v>444.71428571428572</v>
      </c>
      <c r="S246" s="4"/>
      <c r="T246" s="8"/>
      <c r="U246" s="8"/>
      <c r="V246" s="8"/>
      <c r="W246" s="8"/>
      <c r="Z246" s="10">
        <f t="shared" si="47"/>
        <v>43997</v>
      </c>
      <c r="AA246" s="1">
        <f>AI246*AI$3*2</f>
        <v>776374</v>
      </c>
      <c r="AB246" s="1">
        <f t="shared" si="50"/>
        <v>5095.4285714285716</v>
      </c>
      <c r="AC246" s="1">
        <f t="shared" si="51"/>
        <v>41098.968056639642</v>
      </c>
      <c r="AD246" s="1">
        <f t="shared" si="52"/>
        <v>65570.032960678203</v>
      </c>
      <c r="AF246" s="10">
        <f t="shared" si="48"/>
        <v>43997</v>
      </c>
      <c r="AG246" s="6">
        <f t="shared" si="53"/>
        <v>0.87523949383670119</v>
      </c>
      <c r="AH246" s="6">
        <f t="shared" si="49"/>
        <v>0.91798187381097052</v>
      </c>
      <c r="AI246" s="6">
        <f>V$38/V$57*AI$4</f>
        <v>0.45550207232389434</v>
      </c>
      <c r="AJ246" s="1" t="str">
        <f>AJ239</f>
        <v>x</v>
      </c>
    </row>
    <row r="247" spans="2:48" ht="15.6">
      <c r="B247" s="2">
        <f t="shared" si="45"/>
        <v>43998</v>
      </c>
      <c r="C247" s="1">
        <v>186839</v>
      </c>
      <c r="D247" s="1">
        <v>8800</v>
      </c>
      <c r="E247" s="1">
        <v>173100</v>
      </c>
      <c r="F247" s="1">
        <f>+A!C247-A!D247-A!E247</f>
        <v>4939</v>
      </c>
      <c r="G247" s="1"/>
      <c r="H247" s="4">
        <f>SUM(A!J247:J253)/7*1000000/A!H$3-SUM(A!F247:F253)/7*(1-A!N$3)</f>
        <v>34233.296190476198</v>
      </c>
      <c r="I247" s="7">
        <f>SUM(A!F244:F250)/7</f>
        <v>5065.2857142857147</v>
      </c>
      <c r="J247" s="1">
        <v>419</v>
      </c>
      <c r="K247" s="1">
        <v>43</v>
      </c>
      <c r="L247" s="1"/>
      <c r="M247" s="4">
        <f>A!D247-A!D248</f>
        <v>9</v>
      </c>
      <c r="N247" s="11">
        <f>SUM(A!P247:P253)/7*A!N$3</f>
        <v>6.5600000000000005</v>
      </c>
      <c r="O247" s="4">
        <f>(SUM(A!M232:M238)/A!O$3*1000-SUM(A!P244:P250))/7+A!N246</f>
        <v>3314.7594273150817</v>
      </c>
      <c r="P247" s="4">
        <f t="shared" si="46"/>
        <v>378</v>
      </c>
      <c r="Q247" s="1">
        <f>SUM(A!P244:P250)/7</f>
        <v>408.57142857142856</v>
      </c>
      <c r="S247" s="4"/>
      <c r="T247" s="8"/>
      <c r="U247" s="8"/>
      <c r="V247" s="8"/>
      <c r="W247" s="8"/>
      <c r="Z247" s="10">
        <f t="shared" si="47"/>
        <v>43996</v>
      </c>
      <c r="AA247" s="1">
        <f>AI247*AI$3*2</f>
        <v>654392.00000000012</v>
      </c>
      <c r="AB247" s="1">
        <f t="shared" si="50"/>
        <v>5065.2857142857147</v>
      </c>
      <c r="AC247" s="1">
        <f t="shared" si="51"/>
        <v>41616.251190820803</v>
      </c>
      <c r="AD247" s="1">
        <f t="shared" si="52"/>
        <v>64110.102985402409</v>
      </c>
      <c r="AF247" s="10">
        <f t="shared" si="48"/>
        <v>43996</v>
      </c>
      <c r="AG247" s="6">
        <f t="shared" si="53"/>
        <v>0.87723505137917812</v>
      </c>
      <c r="AH247" s="6">
        <f t="shared" si="49"/>
        <v>0.91672160288928473</v>
      </c>
      <c r="AI247" s="6">
        <f>V$39/V$57*AI$4</f>
        <v>0.38393469141441872</v>
      </c>
      <c r="AJ247" s="1"/>
    </row>
    <row r="248" spans="2:48" ht="15.6">
      <c r="B248" s="2">
        <f t="shared" si="45"/>
        <v>43997</v>
      </c>
      <c r="C248" s="1">
        <v>186461</v>
      </c>
      <c r="D248" s="1">
        <v>8791</v>
      </c>
      <c r="E248" s="1">
        <v>172600</v>
      </c>
      <c r="F248" s="1">
        <f>+A!C248-A!D248-A!E248</f>
        <v>5070</v>
      </c>
      <c r="G248" s="1"/>
      <c r="H248" s="4">
        <f>SUM(A!J248:J254)/7*1000000/A!H$3-SUM(A!F248:F254)/7*(1-A!N$3)</f>
        <v>35583.895238095247</v>
      </c>
      <c r="I248" s="7">
        <f>SUM(A!F245:F251)/7</f>
        <v>5072.2857142857147</v>
      </c>
      <c r="J248" s="1">
        <v>425</v>
      </c>
      <c r="K248" s="1">
        <v>24</v>
      </c>
      <c r="L248" s="1"/>
      <c r="M248" s="4">
        <f>A!D248-A!D249</f>
        <v>5</v>
      </c>
      <c r="N248" s="11">
        <f>SUM(A!P248:P254)/7*A!N$3</f>
        <v>6.48</v>
      </c>
      <c r="O248" s="4">
        <f>(SUM(A!M233:M239)/A!O$3*1000-SUM(A!P245:P251))/7+A!N247</f>
        <v>3754.2597330262261</v>
      </c>
      <c r="P248" s="4">
        <f t="shared" si="46"/>
        <v>192</v>
      </c>
      <c r="Q248" s="1">
        <f>SUM(A!P245:P251)/7</f>
        <v>335.42857142857144</v>
      </c>
      <c r="S248" s="4"/>
      <c r="T248" s="8"/>
      <c r="U248" s="8"/>
      <c r="V248" s="8"/>
      <c r="W248" s="8"/>
      <c r="Z248" s="10">
        <f t="shared" si="47"/>
        <v>43995</v>
      </c>
      <c r="AA248" s="1">
        <f>AI248*AI$3*2</f>
        <v>654392.00000000012</v>
      </c>
      <c r="AB248" s="1">
        <f t="shared" si="50"/>
        <v>5072.2857142857147</v>
      </c>
      <c r="AC248" s="1">
        <f t="shared" si="51"/>
        <v>42995.366342975547</v>
      </c>
      <c r="AD248" s="1">
        <f t="shared" si="52"/>
        <v>64325.822517385583</v>
      </c>
      <c r="AF248" s="10">
        <f t="shared" si="48"/>
        <v>43995</v>
      </c>
      <c r="AG248" s="6">
        <f t="shared" si="53"/>
        <v>0.88019052688696042</v>
      </c>
      <c r="AH248" s="6">
        <f t="shared" si="49"/>
        <v>0.91660623511375305</v>
      </c>
      <c r="AI248" s="6">
        <f>V$39/V$57*AI$4</f>
        <v>0.38393469141441872</v>
      </c>
      <c r="AJ248" s="1"/>
    </row>
    <row r="249" spans="2:48" ht="15.6">
      <c r="B249" s="2">
        <f t="shared" si="45"/>
        <v>43996</v>
      </c>
      <c r="C249" s="1">
        <v>186269</v>
      </c>
      <c r="D249" s="1">
        <v>8786</v>
      </c>
      <c r="E249" s="1">
        <v>172200</v>
      </c>
      <c r="F249" s="1">
        <f>+A!C249-A!D249-A!E249</f>
        <v>5283</v>
      </c>
      <c r="G249" s="1"/>
      <c r="H249" s="4">
        <f>SUM(A!J249:J255)/7*1000000/A!H$3-SUM(A!F249:F255)/7*(1-A!N$3)</f>
        <v>36911.352698412695</v>
      </c>
      <c r="I249" s="7">
        <f>SUM(A!F246:F252)/7</f>
        <v>5165.5714285714284</v>
      </c>
      <c r="J249" s="1">
        <v>422</v>
      </c>
      <c r="K249" s="1">
        <v>-67</v>
      </c>
      <c r="L249" s="1"/>
      <c r="M249" s="4">
        <f>A!D249-A!D250</f>
        <v>5</v>
      </c>
      <c r="N249" s="11">
        <f>SUM(A!P249:P255)/7*A!N$3</f>
        <v>7.0628571428571432</v>
      </c>
      <c r="O249" s="4">
        <f>(SUM(A!M234:M240)/A!O$3*1000-SUM(A!P246:P252))/7+A!N248</f>
        <v>3653.0555640475318</v>
      </c>
      <c r="P249" s="4">
        <f t="shared" si="46"/>
        <v>247</v>
      </c>
      <c r="Q249" s="1">
        <f>SUM(A!P246:P252)/7</f>
        <v>331.85714285714283</v>
      </c>
      <c r="S249" s="4"/>
      <c r="T249" s="8"/>
      <c r="U249" s="8"/>
      <c r="V249" s="8"/>
      <c r="W249" s="8"/>
      <c r="Z249" s="10">
        <f t="shared" si="47"/>
        <v>43994</v>
      </c>
      <c r="AA249" s="1">
        <f>AI249*AI$3*2</f>
        <v>654392.00000000012</v>
      </c>
      <c r="AB249" s="1">
        <f t="shared" si="50"/>
        <v>5165.5714285714284</v>
      </c>
      <c r="AC249" s="1">
        <f t="shared" si="51"/>
        <v>44705.744939743447</v>
      </c>
      <c r="AD249" s="1">
        <f t="shared" si="52"/>
        <v>62338.653036673648</v>
      </c>
      <c r="AF249" s="10">
        <f t="shared" si="48"/>
        <v>43994</v>
      </c>
      <c r="AG249" s="6">
        <f t="shared" si="53"/>
        <v>0.88268733953516054</v>
      </c>
      <c r="AH249" s="6">
        <f t="shared" si="49"/>
        <v>0.91298254399272349</v>
      </c>
      <c r="AI249" s="6">
        <f>V$39/V$57*AI$4</f>
        <v>0.38393469141441872</v>
      </c>
      <c r="AJ249" s="1"/>
    </row>
    <row r="250" spans="2:48" ht="15.6">
      <c r="B250" s="2">
        <f t="shared" si="45"/>
        <v>43995</v>
      </c>
      <c r="C250" s="1">
        <v>186022</v>
      </c>
      <c r="D250" s="1">
        <v>8781</v>
      </c>
      <c r="E250" s="1">
        <v>171900</v>
      </c>
      <c r="F250" s="1">
        <f>+A!C250-A!D250-A!E250</f>
        <v>5341</v>
      </c>
      <c r="G250" s="1"/>
      <c r="H250" s="4">
        <f>SUM(A!J250:J256)/7*1000000/A!H$3-SUM(A!F250:F256)/7*(1-A!N$3)</f>
        <v>38660.880952380954</v>
      </c>
      <c r="I250" s="7">
        <f>SUM(A!F247:F253)/7</f>
        <v>5262.4285714285716</v>
      </c>
      <c r="J250" s="1">
        <f>+J251-12</f>
        <v>435</v>
      </c>
      <c r="K250" s="1">
        <v>0</v>
      </c>
      <c r="L250" s="1"/>
      <c r="M250" s="4">
        <f>A!D250-A!D251</f>
        <v>18</v>
      </c>
      <c r="N250" s="11">
        <f>SUM(A!P250:P256)/7*A!N$3</f>
        <v>6.6971428571428566</v>
      </c>
      <c r="O250" s="4">
        <f>(SUM(A!M235:M241)/A!O$3*1000-SUM(A!P247:P253))/7+A!N249</f>
        <v>3605.1477652724702</v>
      </c>
      <c r="P250" s="4">
        <f t="shared" si="46"/>
        <v>348</v>
      </c>
      <c r="Q250" s="1">
        <f>SUM(A!P247:P253)/7</f>
        <v>328</v>
      </c>
      <c r="S250" s="4"/>
      <c r="T250" s="8"/>
      <c r="U250" s="8"/>
      <c r="V250" s="8"/>
      <c r="W250" s="8"/>
      <c r="Z250" s="10">
        <f t="shared" si="47"/>
        <v>43993</v>
      </c>
      <c r="AA250" s="1">
        <f>AI250*AI$3*2</f>
        <v>654392.00000000012</v>
      </c>
      <c r="AB250" s="1">
        <f t="shared" si="50"/>
        <v>5262.4285714285716</v>
      </c>
      <c r="AC250" s="1">
        <f t="shared" si="51"/>
        <v>46467.019698421376</v>
      </c>
      <c r="AD250" s="1">
        <f t="shared" si="52"/>
        <v>62400.49136308032</v>
      </c>
      <c r="AF250" s="10">
        <f t="shared" si="48"/>
        <v>43993</v>
      </c>
      <c r="AG250" s="6">
        <f t="shared" si="53"/>
        <v>0.88451293019592958</v>
      </c>
      <c r="AH250" s="6">
        <f t="shared" si="49"/>
        <v>0.91138860385833409</v>
      </c>
      <c r="AI250" s="6">
        <f>V$39/V$57*AI$4</f>
        <v>0.38393469141441872</v>
      </c>
      <c r="AJ250" s="1"/>
      <c r="AN250" s="9"/>
      <c r="AO250" s="9"/>
      <c r="AP250" s="9"/>
      <c r="AQ250" s="9"/>
      <c r="AR250" s="9"/>
      <c r="AS250" s="9"/>
    </row>
    <row r="251" spans="2:48" ht="15.6">
      <c r="B251" s="2">
        <f t="shared" si="45"/>
        <v>43994</v>
      </c>
      <c r="C251" s="1">
        <v>185674</v>
      </c>
      <c r="D251" s="1">
        <v>8763</v>
      </c>
      <c r="E251" s="1">
        <v>171600</v>
      </c>
      <c r="F251" s="1">
        <f>+A!C251-A!D251-A!E251</f>
        <v>5311</v>
      </c>
      <c r="G251" s="1"/>
      <c r="H251" s="4">
        <f>SUM(A!J251:J257)/7*1000000/A!H$3-SUM(A!F251:F257)/7*(1-A!N$3)</f>
        <v>40340.617142857147</v>
      </c>
      <c r="I251" s="7">
        <f>SUM(A!F248:F254)/7</f>
        <v>5361.4285714285716</v>
      </c>
      <c r="J251" s="1">
        <v>447</v>
      </c>
      <c r="K251" s="1">
        <v>4</v>
      </c>
      <c r="L251" s="1"/>
      <c r="M251" s="4">
        <f>A!D251-A!D252</f>
        <v>8</v>
      </c>
      <c r="N251" s="11">
        <f>SUM(A!P251:P257)/7*A!N$3</f>
        <v>6.8657142857142857</v>
      </c>
      <c r="O251" s="4">
        <f>(SUM(A!M236:M242)/A!O$3*1000-SUM(A!P248:P254))/7+A!N250</f>
        <v>3399.3908558865101</v>
      </c>
      <c r="P251" s="4">
        <f t="shared" si="46"/>
        <v>258</v>
      </c>
      <c r="Q251" s="1">
        <f>SUM(A!P248:P254)/7</f>
        <v>324</v>
      </c>
      <c r="S251" s="4"/>
      <c r="T251" s="8"/>
      <c r="U251" s="8"/>
      <c r="V251" s="8"/>
      <c r="W251" s="8"/>
      <c r="Z251" s="10">
        <f t="shared" si="47"/>
        <v>43992</v>
      </c>
      <c r="AA251" s="1">
        <f>AI251*AI$3*2</f>
        <v>654392.00000000012</v>
      </c>
      <c r="AB251" s="1">
        <f t="shared" si="50"/>
        <v>5361.4285714285716</v>
      </c>
      <c r="AC251" s="1">
        <f t="shared" si="51"/>
        <v>48544.731639280908</v>
      </c>
      <c r="AD251" s="1">
        <f t="shared" si="52"/>
        <v>62971.662879145028</v>
      </c>
      <c r="AF251" s="10">
        <f t="shared" si="48"/>
        <v>43992</v>
      </c>
      <c r="AG251" s="6">
        <f t="shared" si="53"/>
        <v>0.88640244416311287</v>
      </c>
      <c r="AH251" s="6">
        <f t="shared" si="49"/>
        <v>0.91008786529908958</v>
      </c>
      <c r="AI251" s="6">
        <f>V$39/V$57*AI$4</f>
        <v>0.38393469141441872</v>
      </c>
      <c r="AJ251" s="1"/>
      <c r="AN251" s="9"/>
      <c r="AO251" s="9"/>
      <c r="AP251" s="9"/>
      <c r="AQ251" s="9"/>
      <c r="AR251" s="9"/>
      <c r="AS251" s="9"/>
      <c r="AT251" s="6"/>
    </row>
    <row r="252" spans="2:48" ht="15.6">
      <c r="B252" s="2">
        <f t="shared" si="45"/>
        <v>43993</v>
      </c>
      <c r="C252" s="1">
        <v>185416</v>
      </c>
      <c r="D252" s="1">
        <v>8755</v>
      </c>
      <c r="E252" s="1">
        <v>171200</v>
      </c>
      <c r="F252" s="1">
        <f>+A!C252-A!D252-A!E252</f>
        <v>5461</v>
      </c>
      <c r="G252" s="1"/>
      <c r="H252" s="4">
        <f>SUM(A!J252:J258)/7*1000000/A!H$3-SUM(A!F252:F258)/7*(1-A!N$3)</f>
        <v>42101.402222222219</v>
      </c>
      <c r="I252" s="7">
        <f>SUM(A!F249:F255)/7</f>
        <v>5497</v>
      </c>
      <c r="J252" s="1">
        <v>462</v>
      </c>
      <c r="K252" s="1">
        <v>19</v>
      </c>
      <c r="L252" s="1"/>
      <c r="M252" s="4">
        <f>A!D252-A!D253</f>
        <v>26</v>
      </c>
      <c r="N252" s="11">
        <f>SUM(A!P252:P258)/7*A!N$3</f>
        <v>7.5771428571428565</v>
      </c>
      <c r="O252" s="4">
        <f>(SUM(A!M237:M243)/A!O$3*1000-SUM(A!P249:P255))/7+A!N251</f>
        <v>3632.1555640475317</v>
      </c>
      <c r="P252" s="4">
        <f t="shared" si="46"/>
        <v>555</v>
      </c>
      <c r="Q252" s="1">
        <f>SUM(A!P249:P255)/7</f>
        <v>353.14285714285717</v>
      </c>
      <c r="S252" s="4"/>
      <c r="T252" s="8"/>
      <c r="U252" s="8"/>
      <c r="V252" s="8"/>
      <c r="W252" s="8"/>
      <c r="Z252" s="10">
        <f t="shared" si="47"/>
        <v>43991</v>
      </c>
      <c r="AA252" s="1">
        <f>AI252*AI$3*2</f>
        <v>654392.00000000012</v>
      </c>
      <c r="AB252" s="1">
        <f t="shared" si="50"/>
        <v>5497</v>
      </c>
      <c r="AC252" s="1">
        <f t="shared" si="51"/>
        <v>50441.10342834294</v>
      </c>
      <c r="AD252" s="1">
        <f t="shared" si="52"/>
        <v>75218.085212157297</v>
      </c>
      <c r="AF252" s="10">
        <f t="shared" si="48"/>
        <v>43991</v>
      </c>
      <c r="AG252" s="6">
        <f t="shared" si="53"/>
        <v>0.88805714620769149</v>
      </c>
      <c r="AH252" s="6">
        <f t="shared" si="49"/>
        <v>0.92205726189978532</v>
      </c>
      <c r="AI252" s="6">
        <f>V$39/V$57*AI$4</f>
        <v>0.38393469141441872</v>
      </c>
      <c r="AJ252" s="1"/>
      <c r="AN252" s="9"/>
      <c r="AO252" s="9"/>
      <c r="AP252" s="9"/>
      <c r="AQ252" s="9"/>
      <c r="AR252" s="9"/>
      <c r="AS252" s="9"/>
      <c r="AT252" s="9"/>
      <c r="AV252" s="9"/>
    </row>
    <row r="253" spans="2:48" ht="15.6">
      <c r="B253" s="2">
        <f t="shared" si="45"/>
        <v>43992</v>
      </c>
      <c r="C253" s="1">
        <v>184861</v>
      </c>
      <c r="D253" s="1">
        <v>8729</v>
      </c>
      <c r="E253" s="1">
        <v>170700</v>
      </c>
      <c r="F253" s="1">
        <f>+A!C253-A!D253-A!E253</f>
        <v>5432</v>
      </c>
      <c r="G253" s="1"/>
      <c r="H253" s="4">
        <f>SUM(A!J253:J259)/7*1000000/A!H$3-SUM(A!F253:F259)/7*(1-A!N$3)</f>
        <v>43724.703174603164</v>
      </c>
      <c r="I253" s="7">
        <f>SUM(A!F250:F256)/7</f>
        <v>5603.5714285714284</v>
      </c>
      <c r="J253" s="1">
        <v>492</v>
      </c>
      <c r="K253" s="1">
        <v>-32</v>
      </c>
      <c r="L253" s="1"/>
      <c r="M253" s="4">
        <f>A!D253-A!D254</f>
        <v>18</v>
      </c>
      <c r="N253" s="11">
        <f>SUM(A!P253:P259)/7*A!N$3</f>
        <v>7.1171428571428565</v>
      </c>
      <c r="O253" s="4">
        <f>(SUM(A!M238:M244)/A!O$3*1000-SUM(A!P250:P256))/7+A!N252</f>
        <v>3389.4137130293675</v>
      </c>
      <c r="P253" s="4">
        <f t="shared" si="46"/>
        <v>318</v>
      </c>
      <c r="Q253" s="1">
        <f>SUM(A!P250:P256)/7</f>
        <v>334.85714285714283</v>
      </c>
      <c r="S253" s="4"/>
      <c r="T253" s="8"/>
      <c r="U253" s="8"/>
      <c r="V253" s="8"/>
      <c r="W253" s="8"/>
      <c r="Z253" s="10">
        <f t="shared" si="47"/>
        <v>43990</v>
      </c>
      <c r="AA253" s="1">
        <f>AI253*AI$3*2</f>
        <v>654392.00000000012</v>
      </c>
      <c r="AB253" s="1">
        <f t="shared" si="50"/>
        <v>5603.5714285714284</v>
      </c>
      <c r="AC253" s="1">
        <f t="shared" si="51"/>
        <v>52307.559085725457</v>
      </c>
      <c r="AD253" s="1">
        <f t="shared" si="52"/>
        <v>78696.951121089587</v>
      </c>
      <c r="AF253" s="10">
        <f t="shared" si="48"/>
        <v>43990</v>
      </c>
      <c r="AG253" s="6">
        <f t="shared" si="53"/>
        <v>0.88977908307676945</v>
      </c>
      <c r="AH253" s="6">
        <f t="shared" si="49"/>
        <v>0.9239277299118005</v>
      </c>
      <c r="AI253" s="6">
        <f>V$39/V$57*AI$4</f>
        <v>0.38393469141441872</v>
      </c>
      <c r="AJ253" s="1" t="str">
        <f>AJ246</f>
        <v>x</v>
      </c>
      <c r="AN253" s="9"/>
      <c r="AO253" s="9"/>
      <c r="AP253" s="9"/>
      <c r="AQ253" s="9"/>
      <c r="AR253" s="9"/>
      <c r="AS253" s="9"/>
    </row>
    <row r="254" spans="2:48" ht="15.6">
      <c r="B254" s="2">
        <f t="shared" si="45"/>
        <v>43991</v>
      </c>
      <c r="C254" s="1">
        <v>184543</v>
      </c>
      <c r="D254" s="1">
        <v>8711</v>
      </c>
      <c r="E254" s="1">
        <v>170200</v>
      </c>
      <c r="F254" s="1">
        <f>+A!C254-A!D254-A!E254</f>
        <v>5632</v>
      </c>
      <c r="G254" s="1"/>
      <c r="H254" s="4">
        <f>SUM(A!J254:J260)/7*1000000/A!H$3-SUM(A!F254:F260)/7*(1-A!N$3)</f>
        <v>45350.300952380945</v>
      </c>
      <c r="I254" s="7">
        <f>SUM(A!F251:F257)/7</f>
        <v>5716.5714285714284</v>
      </c>
      <c r="J254" s="1">
        <v>533</v>
      </c>
      <c r="K254" s="1">
        <v>78</v>
      </c>
      <c r="L254" s="1"/>
      <c r="M254" s="4">
        <f>A!D254-A!D255</f>
        <v>37</v>
      </c>
      <c r="N254" s="11">
        <f>SUM(A!P254:P260)/7*A!N$3</f>
        <v>7.1857142857142859</v>
      </c>
      <c r="O254" s="4">
        <f>(SUM(A!M239:M245)/A!O$3*1000-SUM(A!P251:P257))/7+A!N253</f>
        <v>4061.0465256765951</v>
      </c>
      <c r="P254" s="4">
        <f t="shared" si="46"/>
        <v>350</v>
      </c>
      <c r="Q254" s="1">
        <f>SUM(A!P251:P257)/7</f>
        <v>343.28571428571428</v>
      </c>
      <c r="S254" s="4"/>
      <c r="T254" s="8"/>
      <c r="U254" s="8"/>
      <c r="V254" s="8"/>
      <c r="W254" s="8"/>
      <c r="Z254" s="10">
        <f t="shared" si="47"/>
        <v>43989</v>
      </c>
      <c r="AA254" s="1">
        <f>AI254*AI$3*2</f>
        <v>681971.99999999988</v>
      </c>
      <c r="AB254" s="1">
        <f t="shared" si="50"/>
        <v>5716.5714285714284</v>
      </c>
      <c r="AC254" s="1">
        <f t="shared" si="51"/>
        <v>53782.931381132817</v>
      </c>
      <c r="AD254" s="1">
        <f t="shared" si="52"/>
        <v>84741.250154322188</v>
      </c>
      <c r="AF254" s="10">
        <f t="shared" si="48"/>
        <v>43989</v>
      </c>
      <c r="AG254" s="6">
        <f t="shared" si="53"/>
        <v>0.89075238084221153</v>
      </c>
      <c r="AH254" s="6">
        <f t="shared" si="49"/>
        <v>0.92778121665363633</v>
      </c>
      <c r="AI254" s="6">
        <f>V$40/V$57*AI$4</f>
        <v>0.4001159998491331</v>
      </c>
      <c r="AJ254" s="1"/>
      <c r="AO254" s="6"/>
      <c r="AP254" s="6"/>
      <c r="AQ254" s="6"/>
      <c r="AR254" s="6"/>
      <c r="AS254" s="6"/>
    </row>
    <row r="255" spans="2:48" ht="15.6">
      <c r="B255" s="2">
        <f t="shared" si="45"/>
        <v>43990</v>
      </c>
      <c r="C255" s="1">
        <v>184193</v>
      </c>
      <c r="D255" s="1">
        <v>8674</v>
      </c>
      <c r="E255" s="1">
        <v>169500</v>
      </c>
      <c r="F255" s="1">
        <f>+A!C255-A!D255-A!E255</f>
        <v>6019</v>
      </c>
      <c r="G255" s="1"/>
      <c r="H255" s="4">
        <f>SUM(A!J255:J261)/7*1000000/A!H$3-SUM(A!F255:F261)/7*(1-A!N$3)</f>
        <v>47124.893333333333</v>
      </c>
      <c r="I255" s="7">
        <f>SUM(A!F252:F258)/7</f>
        <v>5837.5714285714284</v>
      </c>
      <c r="J255" s="1">
        <v>540</v>
      </c>
      <c r="K255" s="1">
        <v>20</v>
      </c>
      <c r="L255" s="1"/>
      <c r="M255" s="4">
        <f>A!D255-A!D256</f>
        <v>6</v>
      </c>
      <c r="N255" s="11">
        <f>SUM(A!P255:P261)/7*A!N$3</f>
        <v>6.7942857142857145</v>
      </c>
      <c r="O255" s="4">
        <f>(SUM(A!M240:M246)/A!O$3*1000-SUM(A!P252:P258))/7+A!N254</f>
        <v>4601.3694550594155</v>
      </c>
      <c r="P255" s="4">
        <f t="shared" si="46"/>
        <v>396</v>
      </c>
      <c r="Q255" s="1">
        <f>SUM(A!P252:P258)/7</f>
        <v>378.85714285714283</v>
      </c>
      <c r="S255" s="4"/>
      <c r="T255" s="8"/>
      <c r="U255" s="8"/>
      <c r="V255" s="8"/>
      <c r="W255" s="8"/>
      <c r="Z255" s="10">
        <f t="shared" si="47"/>
        <v>43988</v>
      </c>
      <c r="AA255" s="1">
        <f>AI255*AI$3*2</f>
        <v>681971.99999999988</v>
      </c>
      <c r="AB255" s="1">
        <f t="shared" si="50"/>
        <v>5837.5714285714284</v>
      </c>
      <c r="AC255" s="1">
        <f t="shared" si="51"/>
        <v>55241.015875800062</v>
      </c>
      <c r="AD255" s="1">
        <f t="shared" si="52"/>
        <v>87780.198558514297</v>
      </c>
      <c r="AF255" s="10">
        <f t="shared" si="48"/>
        <v>43988</v>
      </c>
      <c r="AG255" s="6">
        <f t="shared" si="53"/>
        <v>0.89112146829058081</v>
      </c>
      <c r="AH255" s="6">
        <f t="shared" si="49"/>
        <v>0.92859986042100184</v>
      </c>
      <c r="AI255" s="6">
        <f>V$40/V$57*AI$4</f>
        <v>0.4001159998491331</v>
      </c>
      <c r="AJ255" s="1"/>
    </row>
    <row r="256" spans="2:48" ht="15.6">
      <c r="B256" s="2">
        <f t="shared" si="45"/>
        <v>43989</v>
      </c>
      <c r="C256" s="1">
        <v>183797</v>
      </c>
      <c r="D256" s="1">
        <v>8668</v>
      </c>
      <c r="E256" s="1">
        <v>169100</v>
      </c>
      <c r="F256" s="1">
        <f>+A!C256-A!D256-A!E256</f>
        <v>6029</v>
      </c>
      <c r="G256" s="1"/>
      <c r="H256" s="4">
        <f>SUM(A!J256:J262)/7*1000000/A!H$3-SUM(A!F256:F262)/7*(1-A!N$3)</f>
        <v>48670.675873015876</v>
      </c>
      <c r="I256" s="7">
        <f>SUM(A!F253:F259)/7</f>
        <v>5969.2857142857147</v>
      </c>
      <c r="J256" s="1">
        <v>568</v>
      </c>
      <c r="K256" s="1">
        <v>-74</v>
      </c>
      <c r="L256" s="1"/>
      <c r="M256" s="4">
        <f>A!D256-A!D257</f>
        <v>22</v>
      </c>
      <c r="N256" s="11">
        <f>SUM(A!P256:P262)/7*A!N$3</f>
        <v>6.6142857142857148</v>
      </c>
      <c r="O256" s="4">
        <f>(SUM(A!M241:M247)/A!O$3*1000-SUM(A!P253:P259))/7+A!N255</f>
        <v>4571.6302277129244</v>
      </c>
      <c r="P256" s="4">
        <f t="shared" si="46"/>
        <v>119</v>
      </c>
      <c r="Q256" s="1">
        <f>SUM(A!P253:P259)/7</f>
        <v>355.85714285714283</v>
      </c>
      <c r="S256" s="4"/>
      <c r="T256" s="8"/>
      <c r="U256" s="8"/>
      <c r="V256" s="8"/>
      <c r="W256" s="8"/>
      <c r="Z256" s="10">
        <f t="shared" si="47"/>
        <v>43987</v>
      </c>
      <c r="AA256" s="1">
        <f>AI256*AI$3*2</f>
        <v>681971.99999999988</v>
      </c>
      <c r="AB256" s="1">
        <f t="shared" si="50"/>
        <v>5969.2857142857147</v>
      </c>
      <c r="AC256" s="1">
        <f t="shared" si="51"/>
        <v>56337.145604829027</v>
      </c>
      <c r="AD256" s="1">
        <f t="shared" si="52"/>
        <v>101703.53610415889</v>
      </c>
      <c r="AF256" s="10">
        <f t="shared" si="48"/>
        <v>43987</v>
      </c>
      <c r="AG256" s="6">
        <f t="shared" si="53"/>
        <v>0.89087886545735462</v>
      </c>
      <c r="AH256" s="6">
        <f t="shared" si="49"/>
        <v>0.93646122982510782</v>
      </c>
      <c r="AI256" s="6">
        <f>V$40/V$57*AI$4</f>
        <v>0.4001159998491331</v>
      </c>
      <c r="AJ256" s="1"/>
    </row>
    <row r="257" spans="2:36" ht="15.6">
      <c r="B257" s="2">
        <f t="shared" si="45"/>
        <v>43988</v>
      </c>
      <c r="C257" s="1">
        <v>183678</v>
      </c>
      <c r="D257" s="1">
        <v>8646</v>
      </c>
      <c r="E257" s="1">
        <v>168900</v>
      </c>
      <c r="F257" s="1">
        <f>+A!C257-A!D257-A!E257</f>
        <v>6132</v>
      </c>
      <c r="G257" s="1"/>
      <c r="H257" s="4">
        <f>SUM(A!J257:J263)/7*1000000/A!H$3-SUM(A!F257:F263)/7*(1-A!N$3)</f>
        <v>50126.843174603164</v>
      </c>
      <c r="I257" s="7">
        <f>SUM(A!F254:F260)/7</f>
        <v>6124.5714285714284</v>
      </c>
      <c r="J257" s="1">
        <v>576</v>
      </c>
      <c r="K257" s="1">
        <v>-7</v>
      </c>
      <c r="L257" s="1"/>
      <c r="M257" s="4">
        <f>A!D257-A!D258</f>
        <v>33</v>
      </c>
      <c r="N257" s="11">
        <f>SUM(A!P257:P263)/7*A!N$3</f>
        <v>7.0914285714285716</v>
      </c>
      <c r="O257" s="4">
        <f>(SUM(A!M242:M248)/A!O$3*1000-SUM(A!P254:P260))/7+A!N256</f>
        <v>4672.7172538344767</v>
      </c>
      <c r="P257" s="4">
        <f t="shared" si="46"/>
        <v>407</v>
      </c>
      <c r="Q257" s="1">
        <f>SUM(A!P254:P260)/7</f>
        <v>359.28571428571428</v>
      </c>
      <c r="S257" s="4"/>
      <c r="T257" s="8"/>
      <c r="U257" s="8"/>
      <c r="V257" s="8"/>
      <c r="W257" s="8"/>
      <c r="Z257" s="10">
        <f t="shared" si="47"/>
        <v>43986</v>
      </c>
      <c r="AA257" s="1">
        <f>AI257*AI$3*2</f>
        <v>681971.99999999988</v>
      </c>
      <c r="AB257" s="1">
        <f t="shared" si="50"/>
        <v>6124.5714285714284</v>
      </c>
      <c r="AC257" s="1">
        <f t="shared" si="51"/>
        <v>58116.052353899773</v>
      </c>
      <c r="AD257" s="1">
        <f t="shared" si="52"/>
        <v>116217.37151486331</v>
      </c>
      <c r="AF257" s="10">
        <f t="shared" si="48"/>
        <v>43986</v>
      </c>
      <c r="AG257" s="6">
        <f t="shared" si="53"/>
        <v>0.89058876091143702</v>
      </c>
      <c r="AH257" s="6">
        <f t="shared" si="49"/>
        <v>0.94212157137647901</v>
      </c>
      <c r="AI257" s="6">
        <f>V$40/V$57*AI$4</f>
        <v>0.4001159998491331</v>
      </c>
      <c r="AJ257" s="1"/>
    </row>
    <row r="258" spans="2:36" ht="15.6">
      <c r="B258" s="2">
        <f t="shared" si="45"/>
        <v>43987</v>
      </c>
      <c r="C258" s="1">
        <v>183271</v>
      </c>
      <c r="D258" s="1">
        <v>8613</v>
      </c>
      <c r="E258" s="1">
        <v>168500</v>
      </c>
      <c r="F258" s="1">
        <f>+A!C258-A!D258-A!E258</f>
        <v>6158</v>
      </c>
      <c r="G258" s="1"/>
      <c r="H258" s="4">
        <f>SUM(A!J258:J264)/7*1000000/A!H$3-SUM(A!F258:F264)/7*(1-A!N$3)</f>
        <v>51720.914603174613</v>
      </c>
      <c r="I258" s="7">
        <f>SUM(A!F255:F261)/7</f>
        <v>6335.1428571428569</v>
      </c>
      <c r="J258" s="1">
        <v>595</v>
      </c>
      <c r="K258" s="1">
        <v>16</v>
      </c>
      <c r="L258" s="1"/>
      <c r="M258" s="4">
        <f>A!D258-A!D259</f>
        <v>32</v>
      </c>
      <c r="N258" s="11">
        <f>SUM(A!P258:P264)/7*A!N$3</f>
        <v>8.0371428571428574</v>
      </c>
      <c r="O258" s="4">
        <f>(SUM(A!M243:M249)/A!O$3*1000-SUM(A!P255:P261))/7+A!N257</f>
        <v>5006.8526179134169</v>
      </c>
      <c r="P258" s="4">
        <f t="shared" si="46"/>
        <v>507</v>
      </c>
      <c r="Q258" s="1">
        <f>SUM(A!P255:P261)/7</f>
        <v>339.71428571428572</v>
      </c>
      <c r="S258" s="4"/>
      <c r="T258" s="8"/>
      <c r="U258" s="8"/>
      <c r="V258" s="8"/>
      <c r="W258" s="8"/>
      <c r="Z258" s="10">
        <f t="shared" si="47"/>
        <v>43985</v>
      </c>
      <c r="AA258" s="1">
        <f>AI258*AI$3*2</f>
        <v>681971.99999999988</v>
      </c>
      <c r="AB258" s="1">
        <f t="shared" si="50"/>
        <v>6335.1428571428569</v>
      </c>
      <c r="AC258" s="1">
        <f t="shared" si="51"/>
        <v>59684.970937578939</v>
      </c>
      <c r="AD258" s="1">
        <f t="shared" si="52"/>
        <v>103025.90915925345</v>
      </c>
      <c r="AF258" s="10">
        <f t="shared" si="48"/>
        <v>43985</v>
      </c>
      <c r="AG258" s="6">
        <f t="shared" si="53"/>
        <v>0.88978687362995668</v>
      </c>
      <c r="AH258" s="6">
        <f t="shared" si="49"/>
        <v>0.9330470952498241</v>
      </c>
      <c r="AI258" s="6">
        <f>V$40/V$57*AI$4</f>
        <v>0.4001159998491331</v>
      </c>
      <c r="AJ258" s="1"/>
    </row>
    <row r="259" spans="2:36" ht="15.6">
      <c r="B259" s="2">
        <f t="shared" si="45"/>
        <v>43986</v>
      </c>
      <c r="C259" s="1">
        <v>182764</v>
      </c>
      <c r="D259" s="1">
        <v>8581</v>
      </c>
      <c r="E259" s="1">
        <v>167800</v>
      </c>
      <c r="F259" s="1">
        <f>+A!C259-A!D259-A!E259</f>
        <v>6383</v>
      </c>
      <c r="G259" s="1"/>
      <c r="H259" s="4">
        <f>SUM(A!J259:J265)/7*1000000/A!H$3-SUM(A!F259:F265)/7*(1-A!N$3)</f>
        <v>53177.501904761906</v>
      </c>
      <c r="I259" s="7">
        <f>SUM(A!F256:F262)/7</f>
        <v>6533</v>
      </c>
      <c r="J259" s="1">
        <v>600</v>
      </c>
      <c r="K259" s="1">
        <v>31</v>
      </c>
      <c r="L259" s="1"/>
      <c r="M259" s="4">
        <f>A!D259-A!D260</f>
        <v>30</v>
      </c>
      <c r="N259" s="11">
        <f>SUM(A!P259:P265)/7*A!N$3</f>
        <v>8.7057142857142864</v>
      </c>
      <c r="O259" s="4">
        <f>(SUM(A!M244:M250)/A!O$3*1000-SUM(A!P256:P262))/7+A!N258</f>
        <v>5383.2329236245614</v>
      </c>
      <c r="P259" s="4">
        <f t="shared" si="46"/>
        <v>394</v>
      </c>
      <c r="Q259" s="1">
        <f>SUM(A!P256:P262)/7</f>
        <v>330.71428571428572</v>
      </c>
      <c r="S259" s="4"/>
      <c r="T259" s="8"/>
      <c r="U259" s="8"/>
      <c r="V259" s="8"/>
      <c r="W259" s="8"/>
      <c r="Z259" s="10">
        <f t="shared" si="47"/>
        <v>43984</v>
      </c>
      <c r="AA259" s="1">
        <f>AI259*AI$3*2</f>
        <v>681971.99999999988</v>
      </c>
      <c r="AB259" s="1">
        <f t="shared" si="50"/>
        <v>6533</v>
      </c>
      <c r="AC259" s="1">
        <f t="shared" si="51"/>
        <v>61167.719451175166</v>
      </c>
      <c r="AD259" s="1">
        <f t="shared" si="52"/>
        <v>93098.145139701155</v>
      </c>
      <c r="AF259" s="10">
        <f t="shared" si="48"/>
        <v>43984</v>
      </c>
      <c r="AG259" s="6">
        <f t="shared" si="53"/>
        <v>0.88890504418221072</v>
      </c>
      <c r="AH259" s="6">
        <f t="shared" si="49"/>
        <v>0.92411656439656631</v>
      </c>
      <c r="AI259" s="6">
        <f>V$40/V$57*AI$4</f>
        <v>0.4001159998491331</v>
      </c>
      <c r="AJ259" s="1"/>
    </row>
    <row r="260" spans="2:36" ht="15.6">
      <c r="B260" s="2">
        <f t="shared" si="45"/>
        <v>43985</v>
      </c>
      <c r="C260" s="1">
        <v>182370</v>
      </c>
      <c r="D260" s="1">
        <v>8551</v>
      </c>
      <c r="E260" s="1">
        <v>167300</v>
      </c>
      <c r="F260" s="1">
        <f>+A!C260-A!D260-A!E260</f>
        <v>6519</v>
      </c>
      <c r="G260" s="1"/>
      <c r="H260" s="4">
        <f>SUM(A!J260:J266)/7*1000000/A!H$3-SUM(A!F260:F266)/7*(1-A!N$3)</f>
        <v>54764.853333333333</v>
      </c>
      <c r="I260" s="7">
        <f>SUM(A!F257:F263)/7</f>
        <v>6783.4285714285716</v>
      </c>
      <c r="J260" s="1">
        <v>632</v>
      </c>
      <c r="K260" s="1">
        <v>44</v>
      </c>
      <c r="L260" s="1"/>
      <c r="M260" s="4">
        <f>A!D260-A!D261</f>
        <v>29</v>
      </c>
      <c r="N260" s="11">
        <f>SUM(A!P260:P266)/7*A!N$3</f>
        <v>8.588571428571429</v>
      </c>
      <c r="O260" s="4">
        <f>(SUM(A!M245:M251)/A!O$3*1000-SUM(A!P257:P263))/7+A!N259</f>
        <v>4941.2619619954976</v>
      </c>
      <c r="P260" s="4">
        <f t="shared" si="46"/>
        <v>342</v>
      </c>
      <c r="Q260" s="1">
        <f>SUM(A!P257:P263)/7</f>
        <v>354.57142857142856</v>
      </c>
      <c r="S260" s="4"/>
      <c r="T260" s="8"/>
      <c r="U260" s="8"/>
      <c r="V260" s="8"/>
      <c r="W260" s="8"/>
      <c r="Z260" s="10">
        <f t="shared" si="47"/>
        <v>43983</v>
      </c>
      <c r="AA260" s="1">
        <f>AI260*AI$3*2</f>
        <v>681971.99999999988</v>
      </c>
      <c r="AB260" s="1">
        <f t="shared" si="50"/>
        <v>6783.4285714285716</v>
      </c>
      <c r="AC260" s="1">
        <f t="shared" si="51"/>
        <v>62605.646513483334</v>
      </c>
      <c r="AD260" s="1">
        <f t="shared" si="52"/>
        <v>76799.763178339694</v>
      </c>
      <c r="AF260" s="10">
        <f t="shared" si="48"/>
        <v>43983</v>
      </c>
      <c r="AG260" s="6">
        <f t="shared" si="53"/>
        <v>0.88796842924070341</v>
      </c>
      <c r="AH260" s="6">
        <f t="shared" si="49"/>
        <v>0.90674313727697764</v>
      </c>
      <c r="AI260" s="6">
        <f>V$40/V$57*AI$4</f>
        <v>0.4001159998491331</v>
      </c>
      <c r="AJ260" s="1" t="str">
        <f>AJ253</f>
        <v>x</v>
      </c>
    </row>
    <row r="261" spans="2:36" ht="15.6">
      <c r="B261" s="2">
        <f t="shared" si="45"/>
        <v>43984</v>
      </c>
      <c r="C261" s="1">
        <v>182028</v>
      </c>
      <c r="D261" s="1">
        <v>8522</v>
      </c>
      <c r="E261" s="1">
        <v>166400</v>
      </c>
      <c r="F261" s="1">
        <f>+A!C261-A!D261-A!E261</f>
        <v>7106</v>
      </c>
      <c r="G261" s="1"/>
      <c r="H261" s="4">
        <f>SUM(A!J261:J267)/7*1000000/A!H$3-SUM(A!F261:F267)/7*(1-A!N$3)</f>
        <v>56190.905396825387</v>
      </c>
      <c r="I261" s="7">
        <f>SUM(A!F258:F264)/7</f>
        <v>7022.7142857142853</v>
      </c>
      <c r="J261" s="1">
        <v>689</v>
      </c>
      <c r="K261" s="1">
        <v>46</v>
      </c>
      <c r="L261" s="1"/>
      <c r="M261" s="4">
        <f>A!D261-A!D262</f>
        <v>11</v>
      </c>
      <c r="N261" s="11">
        <f>SUM(A!P261:P267)/7*A!N$3</f>
        <v>8.6457142857142859</v>
      </c>
      <c r="O261" s="4">
        <f>(SUM(A!M246:M252)/A!O$3*1000-SUM(A!P258:P264))/7+A!N260</f>
        <v>4893.8591048526405</v>
      </c>
      <c r="P261" s="4">
        <f t="shared" si="46"/>
        <v>213</v>
      </c>
      <c r="Q261" s="1">
        <f>SUM(A!P258:P264)/7</f>
        <v>401.85714285714283</v>
      </c>
      <c r="S261" s="4"/>
      <c r="T261" s="8"/>
      <c r="U261" s="8"/>
      <c r="V261" s="8"/>
      <c r="W261" s="8"/>
      <c r="Z261" s="10">
        <f t="shared" si="47"/>
        <v>43982</v>
      </c>
      <c r="AA261" s="1">
        <f>AI261*AI$3*2</f>
        <v>810538</v>
      </c>
      <c r="AB261" s="1">
        <f t="shared" si="50"/>
        <v>7022.7142857142853</v>
      </c>
      <c r="AC261" s="1">
        <f t="shared" si="51"/>
        <v>64940.455621439782</v>
      </c>
      <c r="AD261" s="1">
        <f t="shared" si="52"/>
        <v>108296.97829476184</v>
      </c>
      <c r="AF261" s="10">
        <f t="shared" si="48"/>
        <v>43982</v>
      </c>
      <c r="AG261" s="6">
        <f t="shared" si="53"/>
        <v>0.8884648121160883</v>
      </c>
      <c r="AH261" s="6">
        <f t="shared" si="49"/>
        <v>0.9299916694226158</v>
      </c>
      <c r="AI261" s="6">
        <f>V$41/V$57*AI$4</f>
        <v>0.47554624278667845</v>
      </c>
      <c r="AJ261" s="1"/>
    </row>
    <row r="262" spans="2:36" ht="15.6">
      <c r="B262" s="2">
        <f t="shared" si="45"/>
        <v>43983</v>
      </c>
      <c r="C262" s="1">
        <v>181815</v>
      </c>
      <c r="D262" s="1">
        <v>8511</v>
      </c>
      <c r="E262" s="1">
        <v>165900</v>
      </c>
      <c r="F262" s="1">
        <f>+A!C262-A!D262-A!E262</f>
        <v>7404</v>
      </c>
      <c r="G262" s="1"/>
      <c r="H262" s="4">
        <f>SUM(A!J262:J268)/7*1000000/A!H$3-SUM(A!F262:F268)/7*(1-A!N$3)</f>
        <v>57643.935873015871</v>
      </c>
      <c r="I262" s="7">
        <f>SUM(A!F259:F265)/7</f>
        <v>7272.7142857142853</v>
      </c>
      <c r="J262" s="1">
        <v>677</v>
      </c>
      <c r="K262" s="1">
        <v>-50</v>
      </c>
      <c r="L262" s="1"/>
      <c r="M262" s="4">
        <f>A!D262-A!D263</f>
        <v>11</v>
      </c>
      <c r="N262" s="11">
        <f>SUM(A!P262:P268)/7*A!N$3</f>
        <v>9.2714285714285705</v>
      </c>
      <c r="O262" s="4">
        <f>(SUM(A!M247:M253)/A!O$3*1000-SUM(A!P259:P265))/7+A!N261</f>
        <v>4232.3140909804742</v>
      </c>
      <c r="P262" s="4">
        <f t="shared" si="46"/>
        <v>333</v>
      </c>
      <c r="Q262" s="1">
        <f>SUM(A!P259:P265)/7</f>
        <v>435.28571428571428</v>
      </c>
      <c r="S262" s="4"/>
      <c r="T262" s="8"/>
      <c r="U262" s="8"/>
      <c r="V262" s="8"/>
      <c r="W262" s="8"/>
      <c r="Z262" s="10">
        <f t="shared" si="47"/>
        <v>43981</v>
      </c>
      <c r="AA262" s="1">
        <f>AI262*AI$3*2</f>
        <v>810538</v>
      </c>
      <c r="AB262" s="1">
        <f t="shared" si="50"/>
        <v>7272.7142857142853</v>
      </c>
      <c r="AC262" s="1">
        <f t="shared" si="51"/>
        <v>67343.327778917228</v>
      </c>
      <c r="AD262" s="1">
        <f t="shared" si="52"/>
        <v>112216.26687898545</v>
      </c>
      <c r="AF262" s="10">
        <f t="shared" si="48"/>
        <v>43981</v>
      </c>
      <c r="AG262" s="6">
        <f t="shared" si="53"/>
        <v>0.88873875464471985</v>
      </c>
      <c r="AH262" s="6">
        <f t="shared" si="49"/>
        <v>0.93012080199333624</v>
      </c>
      <c r="AI262" s="6">
        <f>V$41/V$57*AI$4</f>
        <v>0.47554624278667845</v>
      </c>
      <c r="AJ262" s="1"/>
    </row>
    <row r="263" spans="2:36" ht="15.6">
      <c r="B263" s="2">
        <f t="shared" si="45"/>
        <v>43982</v>
      </c>
      <c r="C263" s="1">
        <v>181482</v>
      </c>
      <c r="D263" s="1">
        <v>8500</v>
      </c>
      <c r="E263" s="1">
        <v>165200</v>
      </c>
      <c r="F263" s="1">
        <f>+A!C263-A!D263-A!E263</f>
        <v>7782</v>
      </c>
      <c r="G263" s="1"/>
      <c r="H263" s="4">
        <f>SUM(A!J263:J269)/7*1000000/A!H$3-SUM(A!F263:F269)/7*(1-A!N$3)</f>
        <v>59893.564761904767</v>
      </c>
      <c r="I263" s="7">
        <f>SUM(A!F260:F266)/7</f>
        <v>7518.8571428571431</v>
      </c>
      <c r="J263" s="1">
        <v>702</v>
      </c>
      <c r="K263" s="1">
        <v>-15</v>
      </c>
      <c r="L263" s="1"/>
      <c r="M263" s="4">
        <f>A!D263-A!D264</f>
        <v>11</v>
      </c>
      <c r="N263" s="11">
        <f>SUM(A!P263:P269)/7*A!N$3</f>
        <v>9.1457142857142859</v>
      </c>
      <c r="O263" s="4">
        <f>(SUM(A!M248:M254)/A!O$3*1000-SUM(A!P260:P266))/7+A!N262</f>
        <v>5704.535313825053</v>
      </c>
      <c r="P263" s="4">
        <f t="shared" si="46"/>
        <v>286</v>
      </c>
      <c r="Q263" s="1">
        <f>SUM(A!P260:P266)/7</f>
        <v>429.42857142857144</v>
      </c>
      <c r="S263" s="4"/>
      <c r="T263" s="8"/>
      <c r="U263" s="8"/>
      <c r="V263" s="8"/>
      <c r="W263" s="8"/>
      <c r="Z263" s="10">
        <f t="shared" si="47"/>
        <v>43980</v>
      </c>
      <c r="AA263" s="1">
        <f>AI263*AI$3*2</f>
        <v>810538</v>
      </c>
      <c r="AB263" s="1">
        <f t="shared" si="50"/>
        <v>7518.8571428571431</v>
      </c>
      <c r="AC263" s="1">
        <f t="shared" si="51"/>
        <v>69910.715743129738</v>
      </c>
      <c r="AD263" s="1">
        <f t="shared" si="52"/>
        <v>123999.2744944984</v>
      </c>
      <c r="AF263" s="10">
        <f t="shared" si="48"/>
        <v>43980</v>
      </c>
      <c r="AG263" s="6">
        <f t="shared" si="53"/>
        <v>0.88941372960039944</v>
      </c>
      <c r="AH263" s="6">
        <f t="shared" si="49"/>
        <v>0.93449154415397173</v>
      </c>
      <c r="AI263" s="6">
        <f>V$41/V$57*AI$4</f>
        <v>0.47554624278667845</v>
      </c>
      <c r="AJ263" s="1"/>
    </row>
    <row r="264" spans="2:36" ht="15.6">
      <c r="B264" s="2">
        <f t="shared" si="45"/>
        <v>43981</v>
      </c>
      <c r="C264" s="1">
        <v>181196</v>
      </c>
      <c r="D264" s="1">
        <v>8489</v>
      </c>
      <c r="E264" s="1">
        <v>164900</v>
      </c>
      <c r="F264" s="1">
        <f>+A!C264-A!D264-A!E264</f>
        <v>7807</v>
      </c>
      <c r="G264" s="1"/>
      <c r="H264" s="4">
        <f>SUM(A!J264:J270)/7*1000000/A!H$3-SUM(A!F264:F270)/7*(1-A!N$3)</f>
        <v>61994.887936507941</v>
      </c>
      <c r="I264" s="7">
        <f>SUM(A!F261:F267)/7</f>
        <v>7761.1428571428569</v>
      </c>
      <c r="J264" s="1">
        <v>720</v>
      </c>
      <c r="K264" s="1">
        <v>13</v>
      </c>
      <c r="L264" s="1"/>
      <c r="M264" s="4">
        <f>A!D264-A!D265</f>
        <v>39</v>
      </c>
      <c r="N264" s="11">
        <f>SUM(A!P264:P270)/7*A!N$3</f>
        <v>9.56</v>
      </c>
      <c r="O264" s="4">
        <f>(SUM(A!M249:M255)/A!O$3*1000-SUM(A!P261:P267))/7+A!N263</f>
        <v>5753.9002554572589</v>
      </c>
      <c r="P264" s="4">
        <f t="shared" si="46"/>
        <v>738</v>
      </c>
      <c r="Q264" s="1">
        <f>SUM(A!P261:P267)/7</f>
        <v>432.28571428571428</v>
      </c>
      <c r="S264" s="4"/>
      <c r="T264" s="8"/>
      <c r="U264" s="8"/>
      <c r="V264" s="8"/>
      <c r="W264" s="8"/>
      <c r="Z264" s="10">
        <f t="shared" si="47"/>
        <v>43979</v>
      </c>
      <c r="AA264" s="1">
        <f>AI264*AI$3*2</f>
        <v>810538</v>
      </c>
      <c r="AB264" s="1">
        <f t="shared" si="50"/>
        <v>7761.1428571428569</v>
      </c>
      <c r="AC264" s="1">
        <f t="shared" si="51"/>
        <v>73220.48585117195</v>
      </c>
      <c r="AD264" s="1">
        <f t="shared" si="52"/>
        <v>145788.59570733723</v>
      </c>
      <c r="AF264" s="10">
        <f t="shared" si="48"/>
        <v>43979</v>
      </c>
      <c r="AG264" s="6">
        <f t="shared" si="53"/>
        <v>0.89049490663526398</v>
      </c>
      <c r="AH264" s="6">
        <f t="shared" si="49"/>
        <v>0.94183184306164325</v>
      </c>
      <c r="AI264" s="6">
        <f>V$41/V$57*AI$4</f>
        <v>0.47554624278667845</v>
      </c>
      <c r="AJ264" s="1"/>
    </row>
    <row r="265" spans="2:36" ht="15.6">
      <c r="B265" s="2">
        <f t="shared" si="45"/>
        <v>43980</v>
      </c>
      <c r="C265" s="1">
        <v>180458</v>
      </c>
      <c r="D265" s="1">
        <v>8450</v>
      </c>
      <c r="E265" s="1">
        <v>164100</v>
      </c>
      <c r="F265" s="1">
        <f>+A!C265-A!D265-A!E265</f>
        <v>7908</v>
      </c>
      <c r="G265" s="1"/>
      <c r="H265" s="4">
        <f>SUM(A!J265:J271)/7*1000000/A!H$3-SUM(A!F265:F271)/7*(1-A!N$3)</f>
        <v>64252.092063492055</v>
      </c>
      <c r="I265" s="7">
        <f>SUM(A!F262:F268)/7</f>
        <v>7988.8571428571431</v>
      </c>
      <c r="J265" s="1">
        <v>729</v>
      </c>
      <c r="K265" s="1">
        <v>-3</v>
      </c>
      <c r="L265" s="1"/>
      <c r="M265" s="4">
        <f>A!D265-A!D266</f>
        <v>39</v>
      </c>
      <c r="N265" s="11">
        <f>SUM(A!P265:P271)/7*A!N$3</f>
        <v>9.274285714285714</v>
      </c>
      <c r="O265" s="4">
        <f>(SUM(A!M250:M256)/A!O$3*1000-SUM(A!P262:P268))/7+A!N264</f>
        <v>6612.9414060618756</v>
      </c>
      <c r="P265" s="4">
        <f t="shared" si="46"/>
        <v>741</v>
      </c>
      <c r="Q265" s="1">
        <f>SUM(A!P262:P268)/7</f>
        <v>463.57142857142856</v>
      </c>
      <c r="S265" s="4"/>
      <c r="T265" s="8"/>
      <c r="U265" s="8"/>
      <c r="V265" s="8"/>
      <c r="W265" s="8"/>
      <c r="Z265" s="10">
        <f t="shared" si="47"/>
        <v>43978</v>
      </c>
      <c r="AA265" s="1">
        <f>AI265*AI$3*2</f>
        <v>810538</v>
      </c>
      <c r="AB265" s="1">
        <f t="shared" si="50"/>
        <v>7988.8571428571431</v>
      </c>
      <c r="AC265" s="1">
        <f t="shared" si="51"/>
        <v>76465.025096563986</v>
      </c>
      <c r="AD265" s="1">
        <f t="shared" si="52"/>
        <v>167912.91440455132</v>
      </c>
      <c r="AF265" s="10">
        <f t="shared" si="48"/>
        <v>43978</v>
      </c>
      <c r="AG265" s="6">
        <f t="shared" si="53"/>
        <v>0.89166072903530647</v>
      </c>
      <c r="AH265" s="6">
        <f t="shared" si="49"/>
        <v>0.94757040612326549</v>
      </c>
      <c r="AI265" s="6">
        <f>V$41/V$57*AI$4</f>
        <v>0.47554624278667845</v>
      </c>
      <c r="AJ265" s="1"/>
    </row>
    <row r="266" spans="2:36" ht="15.6">
      <c r="B266" s="2">
        <f t="shared" si="45"/>
        <v>43979</v>
      </c>
      <c r="C266" s="1">
        <v>179717</v>
      </c>
      <c r="D266" s="1">
        <v>8411</v>
      </c>
      <c r="E266" s="1">
        <v>163200</v>
      </c>
      <c r="F266" s="1">
        <f>+A!C266-A!D266-A!E266</f>
        <v>8106</v>
      </c>
      <c r="G266" s="1"/>
      <c r="H266" s="4">
        <f>SUM(A!J266:J272)/7*1000000/A!H$3-SUM(A!F266:F272)/7*(1-A!N$3)</f>
        <v>66950.717460317479</v>
      </c>
      <c r="I266" s="7">
        <f>SUM(A!F263:F269)/7</f>
        <v>8233</v>
      </c>
      <c r="J266" s="1">
        <v>744</v>
      </c>
      <c r="K266" s="1">
        <v>15</v>
      </c>
      <c r="L266" s="1"/>
      <c r="M266" s="4">
        <f>A!D266-A!D267</f>
        <v>62</v>
      </c>
      <c r="N266" s="11">
        <f>SUM(A!P266:P272)/7*A!N$3</f>
        <v>8.4714285714285715</v>
      </c>
      <c r="O266" s="4">
        <f>(SUM(A!M251:M257)/A!O$3*1000-SUM(A!P263:P269))/7+A!N265</f>
        <v>7404.1583876877976</v>
      </c>
      <c r="P266" s="4">
        <f t="shared" si="46"/>
        <v>353</v>
      </c>
      <c r="Q266" s="1">
        <f>SUM(A!P263:P269)/7</f>
        <v>457.28571428571428</v>
      </c>
      <c r="S266" s="4"/>
      <c r="T266" s="8"/>
      <c r="U266" s="8"/>
      <c r="V266" s="8"/>
      <c r="W266" s="8"/>
      <c r="Z266" s="10">
        <f t="shared" si="47"/>
        <v>43977</v>
      </c>
      <c r="AA266" s="1">
        <f>AI266*AI$3*2</f>
        <v>810538</v>
      </c>
      <c r="AB266" s="1">
        <f t="shared" si="50"/>
        <v>8233</v>
      </c>
      <c r="AC266" s="1">
        <f t="shared" si="51"/>
        <v>80215.383664212597</v>
      </c>
      <c r="AD266" s="1">
        <f t="shared" si="52"/>
        <v>183952.21762365074</v>
      </c>
      <c r="AF266" s="10">
        <f t="shared" si="48"/>
        <v>43977</v>
      </c>
      <c r="AG266" s="6">
        <f t="shared" si="53"/>
        <v>0.89287974889475974</v>
      </c>
      <c r="AH266" s="6">
        <f t="shared" si="49"/>
        <v>0.95028525273904363</v>
      </c>
      <c r="AI266" s="6">
        <f>V$41/V$57*AI$4</f>
        <v>0.47554624278667845</v>
      </c>
      <c r="AJ266" s="1"/>
    </row>
    <row r="267" spans="2:36" ht="15.6">
      <c r="B267" s="2">
        <f t="shared" si="45"/>
        <v>43978</v>
      </c>
      <c r="C267" s="1">
        <v>179364</v>
      </c>
      <c r="D267" s="1">
        <v>8349</v>
      </c>
      <c r="E267" s="1">
        <v>162800</v>
      </c>
      <c r="F267" s="1">
        <f>+A!C267-A!D267-A!E267</f>
        <v>8215</v>
      </c>
      <c r="G267" s="1"/>
      <c r="H267" s="4">
        <f>SUM(A!J267:J273)/7*1000000/A!H$3-SUM(A!F267:F273)/7*(1-A!N$3)</f>
        <v>70054.825714285718</v>
      </c>
      <c r="I267" s="7">
        <f>SUM(A!F264:F270)/7</f>
        <v>8511.8571428571431</v>
      </c>
      <c r="J267" s="1">
        <v>763</v>
      </c>
      <c r="K267" s="1">
        <v>41</v>
      </c>
      <c r="L267" s="1"/>
      <c r="M267" s="4">
        <f>A!D267-A!D268</f>
        <v>47</v>
      </c>
      <c r="N267" s="11">
        <f>SUM(A!P267:P273)/7*A!N$3</f>
        <v>9.5914285714285707</v>
      </c>
      <c r="O267" s="4">
        <f>(SUM(A!M252:M258)/A!O$3*1000-SUM(A!P264:P270))/7+A!N266</f>
        <v>8638.9884154321317</v>
      </c>
      <c r="P267" s="4">
        <f t="shared" si="46"/>
        <v>362</v>
      </c>
      <c r="Q267" s="1">
        <f>SUM(A!P264:P270)/7</f>
        <v>478</v>
      </c>
      <c r="S267" s="4"/>
      <c r="T267" s="8"/>
      <c r="U267" s="8"/>
      <c r="V267" s="8"/>
      <c r="W267" s="8"/>
      <c r="Z267" s="10">
        <f t="shared" si="47"/>
        <v>43976</v>
      </c>
      <c r="AA267" s="1">
        <f>AI267*AI$3*2</f>
        <v>810538</v>
      </c>
      <c r="AB267" s="1">
        <f t="shared" si="50"/>
        <v>8511.8571428571431</v>
      </c>
      <c r="AC267" s="1">
        <f t="shared" si="51"/>
        <v>83416.116388973693</v>
      </c>
      <c r="AD267" s="1">
        <f t="shared" si="52"/>
        <v>221650.67688437033</v>
      </c>
      <c r="AF267" s="10">
        <f t="shared" si="48"/>
        <v>43976</v>
      </c>
      <c r="AG267" s="6">
        <f t="shared" si="53"/>
        <v>0.8938857375494822</v>
      </c>
      <c r="AH267" s="6">
        <f t="shared" si="49"/>
        <v>0.95723474080843696</v>
      </c>
      <c r="AI267" s="6">
        <f>V$41/V$57*AI$4</f>
        <v>0.47554624278667845</v>
      </c>
      <c r="AJ267" s="1" t="str">
        <f>AJ260</f>
        <v>x</v>
      </c>
    </row>
    <row r="268" spans="2:36" ht="15.6">
      <c r="B268" s="2">
        <f t="shared" si="45"/>
        <v>43977</v>
      </c>
      <c r="C268" s="1">
        <v>179002</v>
      </c>
      <c r="D268" s="1">
        <v>8302</v>
      </c>
      <c r="E268" s="1">
        <v>162000</v>
      </c>
      <c r="F268" s="1">
        <f>+A!C268-A!D268-A!E268</f>
        <v>8700</v>
      </c>
      <c r="G268" s="1"/>
      <c r="H268" s="4">
        <f>SUM(A!J268:J274)/7*1000000/A!H$3-SUM(A!F268:F274)/7*(1-A!N$3)</f>
        <v>73243.498095238087</v>
      </c>
      <c r="I268" s="7">
        <f>SUM(A!F265:F271)/7</f>
        <v>8787.1428571428569</v>
      </c>
      <c r="J268" s="1">
        <v>821</v>
      </c>
      <c r="K268" s="1">
        <v>47</v>
      </c>
      <c r="L268" s="1"/>
      <c r="M268" s="4">
        <f>A!D268-A!D269</f>
        <v>45</v>
      </c>
      <c r="N268" s="11">
        <f>SUM(A!P268:P274)/7*A!N$3</f>
        <v>10.834285714285713</v>
      </c>
      <c r="O268" s="4">
        <f>(SUM(A!M253:M259)/A!O$3*1000-SUM(A!P265:P271))/7+A!N267</f>
        <v>8863.7853248180909</v>
      </c>
      <c r="P268" s="4">
        <f t="shared" si="46"/>
        <v>432</v>
      </c>
      <c r="Q268" s="1">
        <f>SUM(A!P265:P271)/7</f>
        <v>463.71428571428572</v>
      </c>
      <c r="S268" s="4"/>
      <c r="T268" s="8"/>
      <c r="U268" s="8"/>
      <c r="V268" s="8"/>
      <c r="W268" s="8"/>
      <c r="Z268" s="10">
        <f t="shared" si="47"/>
        <v>43975</v>
      </c>
      <c r="AA268" s="1">
        <f>AI268*AI$3*2</f>
        <v>706934</v>
      </c>
      <c r="AB268" s="1">
        <f t="shared" si="50"/>
        <v>8787.1428571428569</v>
      </c>
      <c r="AC268" s="1">
        <f t="shared" si="51"/>
        <v>85957.490404532902</v>
      </c>
      <c r="AD268" s="1">
        <f t="shared" si="52"/>
        <v>171872.60743397532</v>
      </c>
      <c r="AF268" s="10">
        <f t="shared" si="48"/>
        <v>43975</v>
      </c>
      <c r="AG268" s="6">
        <f t="shared" si="53"/>
        <v>0.89372750983751326</v>
      </c>
      <c r="AH268" s="6">
        <f t="shared" si="49"/>
        <v>0.94386878824340736</v>
      </c>
      <c r="AI268" s="6">
        <f>V$42/V$57*AI$4</f>
        <v>0.41476131606187217</v>
      </c>
      <c r="AJ268" s="1"/>
    </row>
    <row r="269" spans="2:36" ht="15.6">
      <c r="B269" s="2">
        <f t="shared" si="45"/>
        <v>43976</v>
      </c>
      <c r="C269" s="1">
        <v>178570</v>
      </c>
      <c r="D269" s="1">
        <v>8257</v>
      </c>
      <c r="E269" s="1">
        <v>161200</v>
      </c>
      <c r="F269" s="1">
        <f>+A!C269-A!D269-A!E269</f>
        <v>9113</v>
      </c>
      <c r="G269" s="1"/>
      <c r="H269" s="4">
        <f>SUM(A!J269:J275)/7*1000000/A!H$3-SUM(A!F269:F275)/7*(1-A!N$3)</f>
        <v>76584.411428571417</v>
      </c>
      <c r="I269" s="7">
        <f>SUM(A!F266:F272)/7</f>
        <v>9091.4285714285706</v>
      </c>
      <c r="J269" s="1">
        <v>873</v>
      </c>
      <c r="K269" s="1">
        <v>14</v>
      </c>
      <c r="L269" s="1"/>
      <c r="M269" s="4">
        <f>A!D269-A!D270</f>
        <v>10</v>
      </c>
      <c r="N269" s="11">
        <f>SUM(A!P269:P275)/7*A!N$3</f>
        <v>11.065714285714288</v>
      </c>
      <c r="O269" s="4">
        <f>(SUM(A!M254:M260)/A!O$3*1000-SUM(A!P266:P272))/7+A!N268</f>
        <v>9480.9968256294815</v>
      </c>
      <c r="P269" s="4">
        <f t="shared" si="46"/>
        <v>289</v>
      </c>
      <c r="Q269" s="1">
        <f>SUM(A!P266:P272)/7</f>
        <v>423.57142857142856</v>
      </c>
      <c r="S269" s="4"/>
      <c r="T269" s="8"/>
      <c r="U269" s="8"/>
      <c r="V269" s="8"/>
      <c r="W269" s="8"/>
      <c r="Z269" s="10">
        <f t="shared" si="47"/>
        <v>43974</v>
      </c>
      <c r="AA269" s="1">
        <f>AI269*AI$3*2</f>
        <v>706934</v>
      </c>
      <c r="AB269" s="1">
        <f t="shared" si="50"/>
        <v>9091.4285714285706</v>
      </c>
      <c r="AC269" s="1">
        <f t="shared" si="51"/>
        <v>88861.833251482749</v>
      </c>
      <c r="AD269" s="1">
        <f t="shared" si="52"/>
        <v>161802.66598041044</v>
      </c>
      <c r="AF269" s="10">
        <f t="shared" si="48"/>
        <v>43974</v>
      </c>
      <c r="AG269" s="6">
        <f t="shared" si="53"/>
        <v>0.89336871503483428</v>
      </c>
      <c r="AH269" s="6">
        <f t="shared" si="49"/>
        <v>0.93848103779560488</v>
      </c>
      <c r="AI269" s="6">
        <f>V$42/V$57*AI$4</f>
        <v>0.41476131606187217</v>
      </c>
      <c r="AJ269" s="1"/>
    </row>
    <row r="270" spans="2:36" ht="15.6">
      <c r="B270" s="2">
        <f t="shared" si="45"/>
        <v>43975</v>
      </c>
      <c r="C270" s="1">
        <v>178281</v>
      </c>
      <c r="D270" s="1">
        <v>8247</v>
      </c>
      <c r="E270" s="1">
        <v>160300</v>
      </c>
      <c r="F270" s="1">
        <f>+A!C270-A!D270-A!E270</f>
        <v>9734</v>
      </c>
      <c r="G270" s="1"/>
      <c r="H270" s="4">
        <f>SUM(A!J270:J276)/7*1000000/A!H$3-SUM(A!F270:F276)/7*(1-A!N$3)</f>
        <v>79459.138730158724</v>
      </c>
      <c r="I270" s="7">
        <f>SUM(A!F267:F273)/7</f>
        <v>9448.4285714285706</v>
      </c>
      <c r="J270" s="1">
        <v>889</v>
      </c>
      <c r="K270" s="1">
        <v>3</v>
      </c>
      <c r="L270" s="1"/>
      <c r="M270" s="4">
        <f>A!D270-A!D271</f>
        <v>31</v>
      </c>
      <c r="N270" s="11">
        <f>SUM(A!P270:P276)/7*A!N$3</f>
        <v>11.217142857142859</v>
      </c>
      <c r="O270" s="4">
        <f>(SUM(A!M255:M261)/A!O$3*1000-SUM(A!P267:P273))/7+A!N269</f>
        <v>8064.1854860493113</v>
      </c>
      <c r="P270" s="4">
        <f t="shared" si="46"/>
        <v>431</v>
      </c>
      <c r="Q270" s="1">
        <f>SUM(A!P267:P273)/7</f>
        <v>479.57142857142856</v>
      </c>
      <c r="S270" s="4"/>
      <c r="T270" s="8"/>
      <c r="U270" s="8"/>
      <c r="V270" s="8"/>
      <c r="W270" s="8"/>
      <c r="Z270" s="10">
        <f t="shared" si="47"/>
        <v>43973</v>
      </c>
      <c r="AA270" s="1">
        <f>AI270*AI$3*2</f>
        <v>706934</v>
      </c>
      <c r="AB270" s="1">
        <f t="shared" si="50"/>
        <v>9448.4285714285706</v>
      </c>
      <c r="AC270" s="1">
        <f t="shared" si="51"/>
        <v>92080.872626605415</v>
      </c>
      <c r="AD270" s="1">
        <f t="shared" si="52"/>
        <v>152936.82074122003</v>
      </c>
      <c r="AF270" s="10">
        <f t="shared" si="48"/>
        <v>43973</v>
      </c>
      <c r="AG270" s="6">
        <f t="shared" si="53"/>
        <v>0.89309458709458145</v>
      </c>
      <c r="AH270" s="6">
        <f t="shared" si="49"/>
        <v>0.93277417794859185</v>
      </c>
      <c r="AI270" s="6">
        <f>V$42/V$57*AI$4</f>
        <v>0.41476131606187217</v>
      </c>
      <c r="AJ270" s="1"/>
    </row>
    <row r="271" spans="2:36" ht="15.6">
      <c r="B271" s="2">
        <f t="shared" si="45"/>
        <v>43974</v>
      </c>
      <c r="C271" s="1">
        <v>177850</v>
      </c>
      <c r="D271" s="1">
        <v>8216</v>
      </c>
      <c r="E271" s="1">
        <v>159900</v>
      </c>
      <c r="F271" s="1">
        <f>+A!C271-A!D271-A!E271</f>
        <v>9734</v>
      </c>
      <c r="G271" s="1"/>
      <c r="H271" s="4">
        <f>SUM(A!J271:J277)/7*1000000/A!H$3-SUM(A!F271:F277)/7*(1-A!N$3)</f>
        <v>82513.619047619053</v>
      </c>
      <c r="I271" s="7">
        <f>SUM(A!F268:F274)/7</f>
        <v>9848.7142857142862</v>
      </c>
      <c r="J271" s="1">
        <v>919</v>
      </c>
      <c r="K271" s="1">
        <v>26</v>
      </c>
      <c r="L271" s="1"/>
      <c r="M271" s="4">
        <f>A!D271-A!D272</f>
        <v>42</v>
      </c>
      <c r="N271" s="11">
        <f>SUM(A!P271:P277)/7*A!N$3</f>
        <v>11.651428571428571</v>
      </c>
      <c r="O271" s="4">
        <f>(SUM(A!M256:M262)/A!O$3*1000-SUM(A!P268:P274))/7+A!N270</f>
        <v>8263.9330513531913</v>
      </c>
      <c r="P271" s="4">
        <f t="shared" si="46"/>
        <v>638</v>
      </c>
      <c r="Q271" s="1">
        <f>SUM(A!P268:P274)/7</f>
        <v>541.71428571428567</v>
      </c>
      <c r="S271" s="4"/>
      <c r="T271" s="8"/>
      <c r="U271" s="8"/>
      <c r="V271" s="8"/>
      <c r="W271" s="8"/>
      <c r="Z271" s="10">
        <f t="shared" si="47"/>
        <v>43972</v>
      </c>
      <c r="AA271" s="1">
        <f>AI271*AI$3*2</f>
        <v>706934</v>
      </c>
      <c r="AB271" s="1">
        <f t="shared" si="50"/>
        <v>9848.7142857142862</v>
      </c>
      <c r="AC271" s="1">
        <f t="shared" si="51"/>
        <v>96044.031182834966</v>
      </c>
      <c r="AD271" s="1">
        <f t="shared" si="52"/>
        <v>163581.09254196397</v>
      </c>
      <c r="AF271" s="10">
        <f t="shared" si="48"/>
        <v>43972</v>
      </c>
      <c r="AG271" s="6">
        <f t="shared" si="53"/>
        <v>0.89313349327109659</v>
      </c>
      <c r="AH271" s="6">
        <f t="shared" si="49"/>
        <v>0.93435884502214162</v>
      </c>
      <c r="AI271" s="6">
        <f>V$42/V$57*AI$4</f>
        <v>0.41476131606187217</v>
      </c>
      <c r="AJ271" s="1"/>
    </row>
    <row r="272" spans="2:36" ht="15.6">
      <c r="B272" s="2">
        <f t="shared" si="45"/>
        <v>43973</v>
      </c>
      <c r="C272" s="1">
        <v>177212</v>
      </c>
      <c r="D272" s="1">
        <v>8174</v>
      </c>
      <c r="E272" s="1">
        <v>159000</v>
      </c>
      <c r="F272" s="1">
        <f>+A!C272-A!D272-A!E272</f>
        <v>10038</v>
      </c>
      <c r="G272" s="1"/>
      <c r="H272" s="4">
        <f>SUM(A!J272:J278)/7*1000000/A!H$3-SUM(A!F272:F278)/7*(1-A!N$3)</f>
        <v>85621.988253968259</v>
      </c>
      <c r="I272" s="7">
        <f>SUM(A!F269:F275)/7</f>
        <v>10249.142857142857</v>
      </c>
      <c r="J272" s="1">
        <v>965</v>
      </c>
      <c r="K272" s="1">
        <v>35</v>
      </c>
      <c r="L272" s="1"/>
      <c r="M272" s="4">
        <f>A!D272-A!D273</f>
        <v>27</v>
      </c>
      <c r="N272" s="11">
        <f>SUM(A!P272:P278)/7*A!N$3</f>
        <v>11.6</v>
      </c>
      <c r="O272" s="4">
        <f>(SUM(A!M257:M263)/A!O$3*1000-SUM(A!P269:P275))/7+A!N271</f>
        <v>7676.9701219703702</v>
      </c>
      <c r="P272" s="4">
        <f t="shared" si="46"/>
        <v>460</v>
      </c>
      <c r="Q272" s="1">
        <f>SUM(A!P269:P275)/7</f>
        <v>553.28571428571433</v>
      </c>
      <c r="S272" s="4"/>
      <c r="T272" s="8"/>
      <c r="U272" s="8"/>
      <c r="V272" s="8"/>
      <c r="W272" s="8"/>
      <c r="Z272" s="10">
        <f t="shared" si="47"/>
        <v>43971</v>
      </c>
      <c r="AA272" s="1">
        <f>AI272*AI$3*2</f>
        <v>706934</v>
      </c>
      <c r="AB272" s="1">
        <f t="shared" si="50"/>
        <v>10249.142857142857</v>
      </c>
      <c r="AC272" s="1">
        <f t="shared" si="51"/>
        <v>99662.525323789276</v>
      </c>
      <c r="AD272" s="1">
        <f t="shared" si="52"/>
        <v>171380.75486387446</v>
      </c>
      <c r="AF272" s="10">
        <f t="shared" si="48"/>
        <v>43971</v>
      </c>
      <c r="AG272" s="6">
        <f t="shared" si="53"/>
        <v>0.8926406771103772</v>
      </c>
      <c r="AH272" s="6">
        <f t="shared" si="49"/>
        <v>0.93463082179943835</v>
      </c>
      <c r="AI272" s="6">
        <f>V$42/V$57*AI$4</f>
        <v>0.41476131606187217</v>
      </c>
      <c r="AJ272" s="1"/>
    </row>
    <row r="273" spans="2:36" ht="15.6">
      <c r="B273" s="2">
        <f t="shared" si="45"/>
        <v>43972</v>
      </c>
      <c r="C273" s="1">
        <v>176752</v>
      </c>
      <c r="D273" s="1">
        <v>8147</v>
      </c>
      <c r="E273" s="1">
        <v>158000</v>
      </c>
      <c r="F273" s="1">
        <f>+A!C273-A!D273-A!E273</f>
        <v>10605</v>
      </c>
      <c r="G273" s="1"/>
      <c r="H273" s="4">
        <f>SUM(A!J273:J279)/7*1000000/A!H$3-SUM(A!F273:F279)/7*(1-A!N$3)</f>
        <v>89297.166031746034</v>
      </c>
      <c r="I273" s="7">
        <f>SUM(A!F270:F276)/7</f>
        <v>10684.714285714286</v>
      </c>
      <c r="J273" s="1">
        <v>1016</v>
      </c>
      <c r="K273" s="1">
        <v>51</v>
      </c>
      <c r="L273" s="1"/>
      <c r="M273" s="4">
        <f>A!D273-A!D274</f>
        <v>57</v>
      </c>
      <c r="N273" s="11">
        <f>SUM(A!P273:P279)/7*A!N$3</f>
        <v>12.894285714285713</v>
      </c>
      <c r="O273" s="4">
        <f>(SUM(A!M258:M264)/A!O$3*1000-SUM(A!P270:P276))/7+A!N272</f>
        <v>7983.4340574778835</v>
      </c>
      <c r="P273" s="4">
        <f t="shared" si="46"/>
        <v>745</v>
      </c>
      <c r="Q273" s="1">
        <f>SUM(A!P270:P276)/7</f>
        <v>560.85714285714289</v>
      </c>
      <c r="S273" s="4"/>
      <c r="T273" s="8"/>
      <c r="U273" s="8"/>
      <c r="V273" s="8"/>
      <c r="W273" s="8"/>
      <c r="Z273" s="10">
        <f t="shared" si="47"/>
        <v>43970</v>
      </c>
      <c r="AA273" s="1">
        <f>AI273*AI$3*2</f>
        <v>706934</v>
      </c>
      <c r="AB273" s="1">
        <f t="shared" si="50"/>
        <v>10684.714285714286</v>
      </c>
      <c r="AC273" s="1">
        <f t="shared" si="51"/>
        <v>104924.78648873315</v>
      </c>
      <c r="AD273" s="1">
        <f t="shared" si="52"/>
        <v>216506.19722515051</v>
      </c>
      <c r="AF273" s="10">
        <f t="shared" si="48"/>
        <v>43970</v>
      </c>
      <c r="AG273" s="6">
        <f t="shared" si="53"/>
        <v>0.89318594391885409</v>
      </c>
      <c r="AH273" s="6">
        <f t="shared" si="49"/>
        <v>0.94521938436698949</v>
      </c>
      <c r="AI273" s="6">
        <f>V$42/V$57*AI$4</f>
        <v>0.41476131606187217</v>
      </c>
      <c r="AJ273" s="1"/>
    </row>
    <row r="274" spans="2:36" ht="15.6">
      <c r="B274" s="2">
        <f t="shared" si="45"/>
        <v>43971</v>
      </c>
      <c r="C274" s="1">
        <v>176007</v>
      </c>
      <c r="D274" s="1">
        <v>8090</v>
      </c>
      <c r="E274" s="1">
        <v>156900</v>
      </c>
      <c r="F274" s="1">
        <f>+A!C274-A!D274-A!E274</f>
        <v>11017</v>
      </c>
      <c r="G274" s="1"/>
      <c r="H274" s="4">
        <f>SUM(A!J274:J280)/7*1000000/A!H$3-SUM(A!F274:F280)/7*(1-A!N$3)</f>
        <v>92766.229206349235</v>
      </c>
      <c r="I274" s="7">
        <f>SUM(A!F271:F277)/7</f>
        <v>11157.142857142857</v>
      </c>
      <c r="J274" s="1">
        <v>1045</v>
      </c>
      <c r="K274" s="1">
        <v>46</v>
      </c>
      <c r="L274" s="1"/>
      <c r="M274" s="4">
        <f>A!D274-A!D275</f>
        <v>83</v>
      </c>
      <c r="N274" s="11">
        <f>SUM(A!P274:P280)/7*A!N$3</f>
        <v>13.431428571428571</v>
      </c>
      <c r="O274" s="4">
        <f>(SUM(A!M259:M265)/A!O$3*1000-SUM(A!P271:P277))/7+A!N273</f>
        <v>8329.4486489033152</v>
      </c>
      <c r="P274" s="4">
        <f t="shared" si="46"/>
        <v>797</v>
      </c>
      <c r="Q274" s="1">
        <f>SUM(A!P271:P277)/7</f>
        <v>582.57142857142856</v>
      </c>
      <c r="S274" s="4"/>
      <c r="T274" s="8"/>
      <c r="U274" s="8"/>
      <c r="V274" s="8"/>
      <c r="W274" s="8"/>
      <c r="Z274" s="10">
        <f t="shared" si="47"/>
        <v>43969</v>
      </c>
      <c r="AA274" s="1">
        <f>AI274*AI$3*2</f>
        <v>706934</v>
      </c>
      <c r="AB274" s="1">
        <f t="shared" si="50"/>
        <v>11157.142857142857</v>
      </c>
      <c r="AC274" s="1">
        <f t="shared" si="51"/>
        <v>109707.2687987903</v>
      </c>
      <c r="AD274" s="1">
        <f t="shared" si="52"/>
        <v>220432.65646961264</v>
      </c>
      <c r="AF274" s="10">
        <f t="shared" si="48"/>
        <v>43969</v>
      </c>
      <c r="AG274" s="6">
        <f t="shared" si="53"/>
        <v>0.89365001059794669</v>
      </c>
      <c r="AH274" s="6">
        <f t="shared" si="49"/>
        <v>0.94408351425575276</v>
      </c>
      <c r="AI274" s="6">
        <f>V$42/V$57*AI$4</f>
        <v>0.41476131606187217</v>
      </c>
      <c r="AJ274" s="1" t="str">
        <f>AJ267</f>
        <v>x</v>
      </c>
    </row>
    <row r="275" spans="2:36" ht="15.6">
      <c r="B275" s="2">
        <f t="shared" si="45"/>
        <v>43970</v>
      </c>
      <c r="C275" s="1">
        <v>175210</v>
      </c>
      <c r="D275" s="1">
        <v>8007</v>
      </c>
      <c r="E275" s="1">
        <v>155700</v>
      </c>
      <c r="F275" s="1">
        <f>+A!C275-A!D275-A!E275</f>
        <v>11503</v>
      </c>
      <c r="G275" s="1"/>
      <c r="H275" s="4">
        <f>SUM(A!J275:J281)/7*1000000/A!H$3-SUM(A!F275:F281)/7*(1-A!N$3)</f>
        <v>97545.862539682566</v>
      </c>
      <c r="I275" s="7">
        <f>SUM(A!F272:F278)/7</f>
        <v>11665.285714285714</v>
      </c>
      <c r="J275" s="1">
        <v>1115</v>
      </c>
      <c r="K275" s="1">
        <v>-212</v>
      </c>
      <c r="L275" s="1"/>
      <c r="M275" s="4">
        <f>A!D275-A!D276</f>
        <v>72</v>
      </c>
      <c r="N275" s="11">
        <f>SUM(A!P275:P281)/7*A!N$3</f>
        <v>13.434285714285714</v>
      </c>
      <c r="O275" s="4">
        <f>(SUM(A!M260:M266)/A!O$3*1000-SUM(A!P272:P278))/7+A!N274</f>
        <v>10007.686781133852</v>
      </c>
      <c r="P275" s="4">
        <f t="shared" si="46"/>
        <v>513</v>
      </c>
      <c r="Q275" s="1">
        <f>SUM(A!P272:P278)/7</f>
        <v>580</v>
      </c>
      <c r="S275" s="4"/>
      <c r="T275" s="8"/>
      <c r="U275" s="8"/>
      <c r="V275" s="8"/>
      <c r="W275" s="8"/>
      <c r="Z275" s="10">
        <f t="shared" si="47"/>
        <v>43968</v>
      </c>
      <c r="AA275" s="1">
        <f>AI275*AI$3*2</f>
        <v>865332</v>
      </c>
      <c r="AB275" s="1">
        <f t="shared" si="50"/>
        <v>11665.285714285714</v>
      </c>
      <c r="AC275" s="1">
        <f t="shared" si="51"/>
        <v>115105.78377955985</v>
      </c>
      <c r="AD275" s="1">
        <f t="shared" si="52"/>
        <v>256189.23334150514</v>
      </c>
      <c r="AF275" s="10">
        <f t="shared" si="48"/>
        <v>43968</v>
      </c>
      <c r="AG275" s="6">
        <f t="shared" si="53"/>
        <v>0.89424827440266208</v>
      </c>
      <c r="AH275" s="6">
        <f t="shared" si="49"/>
        <v>0.94954754105064099</v>
      </c>
      <c r="AI275" s="6">
        <f>V$43/V$57*AI$4</f>
        <v>0.50769412583133922</v>
      </c>
      <c r="AJ275" s="1"/>
    </row>
    <row r="276" spans="2:36" ht="15.6">
      <c r="B276" s="2">
        <f t="shared" si="45"/>
        <v>43969</v>
      </c>
      <c r="C276" s="1">
        <v>174697</v>
      </c>
      <c r="D276" s="1">
        <v>7935</v>
      </c>
      <c r="E276" s="1">
        <v>154600</v>
      </c>
      <c r="F276" s="1">
        <f>+A!C276-A!D276-A!E276</f>
        <v>12162</v>
      </c>
      <c r="G276" s="1"/>
      <c r="H276" s="4">
        <f>SUM(A!J276:J282)/7*1000000/A!H$3-SUM(A!F276:F282)/7*(1-A!N$3)</f>
        <v>102331.90952380952</v>
      </c>
      <c r="I276" s="7">
        <f>SUM(A!F273:F279)/7</f>
        <v>12178.142857142857</v>
      </c>
      <c r="J276" s="1">
        <v>1133</v>
      </c>
      <c r="K276" s="1">
        <v>-4</v>
      </c>
      <c r="L276" s="1"/>
      <c r="M276" s="4">
        <f>A!D276-A!D277</f>
        <v>21</v>
      </c>
      <c r="N276" s="11">
        <f>SUM(A!P276:P282)/7*A!N$3</f>
        <v>14.634285714285713</v>
      </c>
      <c r="O276" s="4">
        <f>(SUM(A!M261:M267)/A!O$3*1000-SUM(A!P273:P279))/7+A!N275</f>
        <v>10885.235730513532</v>
      </c>
      <c r="P276" s="4">
        <f t="shared" si="46"/>
        <v>342</v>
      </c>
      <c r="Q276" s="1">
        <f>SUM(A!P273:P279)/7</f>
        <v>644.71428571428567</v>
      </c>
      <c r="S276" s="4"/>
      <c r="T276" s="8"/>
      <c r="U276" s="8"/>
      <c r="V276" s="8"/>
      <c r="W276" s="8"/>
      <c r="Z276" s="10">
        <f t="shared" si="47"/>
        <v>43967</v>
      </c>
      <c r="AA276" s="1">
        <f>AI276*AI$3*2</f>
        <v>865332</v>
      </c>
      <c r="AB276" s="1">
        <f t="shared" si="50"/>
        <v>12178.142857142857</v>
      </c>
      <c r="AC276" s="1">
        <f t="shared" si="51"/>
        <v>120022.83854280476</v>
      </c>
      <c r="AD276" s="1">
        <f t="shared" si="52"/>
        <v>266256.14618878713</v>
      </c>
      <c r="AF276" s="10">
        <f t="shared" si="48"/>
        <v>43967</v>
      </c>
      <c r="AG276" s="6">
        <f t="shared" si="53"/>
        <v>0.89414582893112249</v>
      </c>
      <c r="AH276" s="6">
        <f t="shared" si="49"/>
        <v>0.94933773342932382</v>
      </c>
      <c r="AI276" s="6">
        <f>V$43/V$57*AI$4</f>
        <v>0.50769412583133922</v>
      </c>
      <c r="AJ276" s="1"/>
    </row>
    <row r="277" spans="2:36" ht="15.6">
      <c r="B277" s="2">
        <f t="shared" si="45"/>
        <v>43968</v>
      </c>
      <c r="C277" s="1">
        <v>174355</v>
      </c>
      <c r="D277" s="1">
        <v>7914</v>
      </c>
      <c r="E277" s="1">
        <v>153400</v>
      </c>
      <c r="F277" s="1">
        <f>+A!C277-A!D277-A!E277</f>
        <v>13041</v>
      </c>
      <c r="G277" s="1"/>
      <c r="H277" s="4">
        <f>SUM(A!J277:J283)/7*1000000/A!H$3-SUM(A!F277:F283)/7*(1-A!N$3)</f>
        <v>107341.86634920634</v>
      </c>
      <c r="I277" s="7">
        <f>SUM(A!F274:F280)/7</f>
        <v>12694</v>
      </c>
      <c r="J277" s="1">
        <v>1166</v>
      </c>
      <c r="K277" s="1">
        <v>11</v>
      </c>
      <c r="L277" s="1"/>
      <c r="M277" s="4">
        <f>A!D277-A!D278</f>
        <v>33</v>
      </c>
      <c r="N277" s="11">
        <f>SUM(A!P277:P283)/7*A!N$3</f>
        <v>14.677142857142858</v>
      </c>
      <c r="O277" s="4">
        <f>(SUM(A!M262:M268)/A!O$3*1000-SUM(A!P274:P280))/7+A!N276</f>
        <v>12639.40374600848</v>
      </c>
      <c r="P277" s="4">
        <f t="shared" si="46"/>
        <v>583</v>
      </c>
      <c r="Q277" s="1">
        <f>SUM(A!P274:P280)/7</f>
        <v>671.57142857142856</v>
      </c>
      <c r="S277" s="4"/>
      <c r="T277" s="8"/>
      <c r="U277" s="8"/>
      <c r="V277" s="8"/>
      <c r="W277" s="8"/>
      <c r="Z277" s="10">
        <f t="shared" si="47"/>
        <v>43966</v>
      </c>
      <c r="AA277" s="1">
        <f>AI277*AI$3*2</f>
        <v>865332</v>
      </c>
      <c r="AB277" s="1">
        <f t="shared" si="50"/>
        <v>12694</v>
      </c>
      <c r="AC277" s="1">
        <f t="shared" si="51"/>
        <v>125162.4775879752</v>
      </c>
      <c r="AD277" s="1">
        <f t="shared" si="52"/>
        <v>275166.76964809414</v>
      </c>
      <c r="AF277" s="10">
        <f t="shared" si="48"/>
        <v>43966</v>
      </c>
      <c r="AG277" s="6">
        <f t="shared" si="53"/>
        <v>0.89404748971545278</v>
      </c>
      <c r="AH277" s="6">
        <f t="shared" si="49"/>
        <v>0.94885215092518194</v>
      </c>
      <c r="AI277" s="6">
        <f>V$43/V$57*AI$4</f>
        <v>0.50769412583133922</v>
      </c>
      <c r="AJ277" s="1"/>
    </row>
    <row r="278" spans="2:36" ht="15.6">
      <c r="B278" s="2">
        <f t="shared" si="45"/>
        <v>43967</v>
      </c>
      <c r="C278" s="1">
        <v>173772</v>
      </c>
      <c r="D278" s="1">
        <v>7881</v>
      </c>
      <c r="E278" s="1">
        <v>152600</v>
      </c>
      <c r="F278" s="1">
        <f>+A!C278-A!D278-A!E278</f>
        <v>13291</v>
      </c>
      <c r="G278" s="1"/>
      <c r="H278" s="4">
        <f>SUM(A!J278:J284)/7*1000000/A!H$3-SUM(A!F278:F284)/7*(1-A!N$3)</f>
        <v>111998.22761904763</v>
      </c>
      <c r="I278" s="7">
        <f>SUM(A!F275:F281)/7</f>
        <v>13259</v>
      </c>
      <c r="J278" s="1">
        <v>1203</v>
      </c>
      <c r="K278" s="1">
        <v>19</v>
      </c>
      <c r="L278" s="1"/>
      <c r="M278" s="4">
        <f>A!D278-A!D279</f>
        <v>57</v>
      </c>
      <c r="N278" s="11">
        <f>SUM(A!P278:P284)/7*A!N$3</f>
        <v>14.917142857142858</v>
      </c>
      <c r="O278" s="4">
        <f>(SUM(A!M263:M269)/A!O$3*1000-SUM(A!P275:P281))/7+A!N277</f>
        <v>12586.955947233419</v>
      </c>
      <c r="P278" s="4">
        <f t="shared" si="46"/>
        <v>620</v>
      </c>
      <c r="Q278" s="1">
        <f>SUM(A!P275:P281)/7</f>
        <v>671.71428571428567</v>
      </c>
      <c r="S278" s="4"/>
      <c r="T278" s="8"/>
      <c r="U278" s="8"/>
      <c r="V278" s="8"/>
      <c r="W278" s="8"/>
      <c r="Z278" s="10">
        <f t="shared" si="47"/>
        <v>43965</v>
      </c>
      <c r="AA278" s="1">
        <f>AI278*AI$3*2</f>
        <v>865332</v>
      </c>
      <c r="AB278" s="1">
        <f t="shared" si="50"/>
        <v>13259</v>
      </c>
      <c r="AC278" s="1">
        <f t="shared" si="51"/>
        <v>130202.42166129146</v>
      </c>
      <c r="AD278" s="1">
        <f t="shared" si="52"/>
        <v>290248.41685537645</v>
      </c>
      <c r="AF278" s="10">
        <f t="shared" si="48"/>
        <v>43965</v>
      </c>
      <c r="AG278" s="6">
        <f t="shared" si="53"/>
        <v>0.89354169327651289</v>
      </c>
      <c r="AH278" s="6">
        <f t="shared" si="49"/>
        <v>0.94926569437247654</v>
      </c>
      <c r="AI278" s="6">
        <f>V$43/V$57*AI$4</f>
        <v>0.50769412583133922</v>
      </c>
      <c r="AJ278" s="1"/>
    </row>
    <row r="279" spans="2:36" ht="15.6">
      <c r="B279" s="2">
        <f t="shared" si="45"/>
        <v>43966</v>
      </c>
      <c r="C279" s="1">
        <v>173152</v>
      </c>
      <c r="D279" s="1">
        <v>7824</v>
      </c>
      <c r="E279" s="1">
        <v>151700</v>
      </c>
      <c r="F279" s="1">
        <f>+A!C279-A!D279-A!E279</f>
        <v>13628</v>
      </c>
      <c r="G279" s="1"/>
      <c r="H279" s="4">
        <f>SUM(A!J279:J285)/7*1000000/A!H$3-SUM(A!F279:F285)/7*(1-A!N$3)</f>
        <v>117031.67809523811</v>
      </c>
      <c r="I279" s="7">
        <f>SUM(A!F276:F282)/7</f>
        <v>13869.285714285714</v>
      </c>
      <c r="J279" s="1">
        <v>1294</v>
      </c>
      <c r="K279" s="1">
        <v>306</v>
      </c>
      <c r="L279" s="1"/>
      <c r="M279" s="4">
        <f>A!D279-A!D280</f>
        <v>101</v>
      </c>
      <c r="N279" s="11">
        <f>SUM(A!P279:P285)/7*A!N$3</f>
        <v>16.72</v>
      </c>
      <c r="O279" s="4">
        <f>(SUM(A!M264:M270)/A!O$3*1000-SUM(A!P276:P282))/7+A!N278</f>
        <v>13574.151922734647</v>
      </c>
      <c r="P279" s="4">
        <f t="shared" si="46"/>
        <v>913</v>
      </c>
      <c r="Q279" s="1">
        <f>SUM(A!P276:P282)/7</f>
        <v>731.71428571428567</v>
      </c>
      <c r="S279" s="4"/>
      <c r="T279" s="8"/>
      <c r="U279" s="8"/>
      <c r="V279" s="8"/>
      <c r="W279" s="8"/>
      <c r="Z279" s="10">
        <f t="shared" si="47"/>
        <v>43964</v>
      </c>
      <c r="AA279" s="1">
        <f>AI279*AI$3*2</f>
        <v>865332</v>
      </c>
      <c r="AB279" s="1">
        <f t="shared" si="50"/>
        <v>13869.285714285714</v>
      </c>
      <c r="AC279" s="1">
        <f t="shared" si="51"/>
        <v>136627.46714117029</v>
      </c>
      <c r="AD279" s="1">
        <f t="shared" si="52"/>
        <v>284956.99172153923</v>
      </c>
      <c r="AF279" s="10">
        <f t="shared" si="48"/>
        <v>43964</v>
      </c>
      <c r="AG279" s="6">
        <f t="shared" si="53"/>
        <v>0.89379508957564169</v>
      </c>
      <c r="AH279" s="6">
        <f t="shared" si="49"/>
        <v>0.94609840190843997</v>
      </c>
      <c r="AI279" s="6">
        <f>V$43/V$57*AI$4</f>
        <v>0.50769412583133922</v>
      </c>
      <c r="AJ279" s="1"/>
    </row>
    <row r="280" spans="2:36" ht="15.6">
      <c r="B280" s="2">
        <f t="shared" si="45"/>
        <v>43965</v>
      </c>
      <c r="C280" s="1">
        <v>172239</v>
      </c>
      <c r="D280" s="1">
        <v>7723</v>
      </c>
      <c r="E280" s="1">
        <v>150300</v>
      </c>
      <c r="F280" s="1">
        <f>+A!C280-A!D280-A!E280</f>
        <v>14216</v>
      </c>
      <c r="G280" s="1"/>
      <c r="H280" s="4">
        <f>SUM(A!J280:J286)/7*1000000/A!H$3-SUM(A!F280:F286)/7*(1-A!N$3)</f>
        <v>121680.77460317459</v>
      </c>
      <c r="I280" s="7">
        <f>SUM(A!F277:F283)/7</f>
        <v>14497.285714285714</v>
      </c>
      <c r="J280" s="1">
        <v>1329</v>
      </c>
      <c r="K280" s="1">
        <v>35</v>
      </c>
      <c r="L280" s="1"/>
      <c r="M280" s="4">
        <f>A!D280-A!D281</f>
        <v>89</v>
      </c>
      <c r="N280" s="11">
        <f>SUM(A!P280:P286)/7*A!N$3</f>
        <v>17.565714285714286</v>
      </c>
      <c r="O280" s="4">
        <f>(SUM(A!M265:M271)/A!O$3*1000-SUM(A!P277:P283))/7+A!N279</f>
        <v>13730.855319059832</v>
      </c>
      <c r="P280" s="4">
        <f t="shared" si="46"/>
        <v>933</v>
      </c>
      <c r="Q280" s="1">
        <f>SUM(A!P277:P283)/7</f>
        <v>733.85714285714289</v>
      </c>
      <c r="S280" s="4"/>
      <c r="T280" s="8"/>
      <c r="U280" s="8"/>
      <c r="V280" s="8"/>
      <c r="W280" s="8"/>
      <c r="Z280" s="10">
        <f t="shared" si="47"/>
        <v>43963</v>
      </c>
      <c r="AA280" s="1">
        <f>AI280*AI$3*2</f>
        <v>865332</v>
      </c>
      <c r="AB280" s="1">
        <f t="shared" si="50"/>
        <v>14497.285714285714</v>
      </c>
      <c r="AC280" s="1">
        <f t="shared" si="51"/>
        <v>141918.68055646794</v>
      </c>
      <c r="AD280" s="1">
        <f t="shared" si="52"/>
        <v>258871.1660619567</v>
      </c>
      <c r="AF280" s="10">
        <f t="shared" si="48"/>
        <v>43963</v>
      </c>
      <c r="AG280" s="6">
        <f t="shared" si="53"/>
        <v>0.89310412309365295</v>
      </c>
      <c r="AH280" s="6">
        <f t="shared" si="49"/>
        <v>0.93842368366375006</v>
      </c>
      <c r="AI280" s="6">
        <f>V$43/V$57*AI$4</f>
        <v>0.50769412583133922</v>
      </c>
      <c r="AJ280" s="1"/>
    </row>
    <row r="281" spans="2:36" ht="15.6">
      <c r="B281" s="2">
        <f t="shared" si="45"/>
        <v>43964</v>
      </c>
      <c r="C281" s="1">
        <v>171306</v>
      </c>
      <c r="D281" s="1">
        <v>7634</v>
      </c>
      <c r="E281" s="1">
        <v>148700</v>
      </c>
      <c r="F281" s="1">
        <f>+A!C281-A!D281-A!E281</f>
        <v>14972</v>
      </c>
      <c r="G281" s="1"/>
      <c r="H281" s="4">
        <f>SUM(A!J281:J287)/7*1000000/A!H$3-SUM(A!F281:F287)/7*(1-A!N$3)</f>
        <v>127273.95047619047</v>
      </c>
      <c r="I281" s="7">
        <f>SUM(A!F278:F284)/7</f>
        <v>15123.285714285714</v>
      </c>
      <c r="J281" s="1">
        <v>1465</v>
      </c>
      <c r="K281" s="1">
        <v>51</v>
      </c>
      <c r="L281" s="1"/>
      <c r="M281" s="4">
        <f>A!D281-A!D282</f>
        <v>101</v>
      </c>
      <c r="N281" s="11">
        <f>SUM(A!P281:P287)/7*A!N$3</f>
        <v>18.568571428571428</v>
      </c>
      <c r="O281" s="4">
        <f>(SUM(A!M266:M272)/A!O$3*1000-SUM(A!P278:P284))/7+A!N280</f>
        <v>13091.527448044808</v>
      </c>
      <c r="P281" s="4">
        <f t="shared" si="46"/>
        <v>798</v>
      </c>
      <c r="Q281" s="1">
        <f>SUM(A!P278:P284)/7</f>
        <v>745.85714285714289</v>
      </c>
      <c r="S281" s="4"/>
      <c r="T281" s="8"/>
      <c r="U281" s="8"/>
      <c r="V281" s="8"/>
      <c r="W281" s="8"/>
      <c r="Z281" s="10">
        <f t="shared" si="47"/>
        <v>43962</v>
      </c>
      <c r="AA281" s="1">
        <f>AI281*AI$3*2</f>
        <v>865332</v>
      </c>
      <c r="AB281" s="1">
        <f t="shared" si="50"/>
        <v>15123.285714285714</v>
      </c>
      <c r="AC281" s="1">
        <f t="shared" si="51"/>
        <v>146166.02693311434</v>
      </c>
      <c r="AD281" s="1">
        <f t="shared" si="52"/>
        <v>293528.23653225816</v>
      </c>
      <c r="AF281" s="10">
        <f t="shared" si="48"/>
        <v>43962</v>
      </c>
      <c r="AG281" s="6">
        <f t="shared" si="53"/>
        <v>0.8921054805154629</v>
      </c>
      <c r="AH281" s="6">
        <f t="shared" si="49"/>
        <v>0.94319565875431732</v>
      </c>
      <c r="AI281" s="6">
        <f>V$43/V$57*AI$4</f>
        <v>0.50769412583133922</v>
      </c>
      <c r="AJ281" s="1" t="str">
        <f>AJ274</f>
        <v>x</v>
      </c>
    </row>
    <row r="282" spans="2:36" ht="15.6">
      <c r="B282" s="2">
        <f t="shared" si="45"/>
        <v>43963</v>
      </c>
      <c r="C282" s="1">
        <v>170508</v>
      </c>
      <c r="D282" s="1">
        <v>7533</v>
      </c>
      <c r="E282" s="1">
        <v>147200</v>
      </c>
      <c r="F282" s="1">
        <f>+A!C282-A!D282-A!E282</f>
        <v>15775</v>
      </c>
      <c r="G282" s="1"/>
      <c r="H282" s="4">
        <f>SUM(A!J282:J288)/7*1000000/A!H$3-SUM(A!F282:F288)/7*(1-A!N$3)</f>
        <v>131833.1253968254</v>
      </c>
      <c r="I282" s="7">
        <f>SUM(A!F279:F285)/7</f>
        <v>15779.142857142857</v>
      </c>
      <c r="J282" s="1">
        <v>1539</v>
      </c>
      <c r="K282" s="1">
        <v>51</v>
      </c>
      <c r="L282" s="1"/>
      <c r="M282" s="4">
        <f>A!D282-A!D283</f>
        <v>116</v>
      </c>
      <c r="N282" s="11">
        <f>SUM(A!P282:P288)/7*A!N$3</f>
        <v>18.994285714285713</v>
      </c>
      <c r="O282" s="4">
        <f>(SUM(A!M267:M273)/A!O$3*1000-SUM(A!P279:P285))/7+A!N281</f>
        <v>12740.648454169503</v>
      </c>
      <c r="P282" s="4">
        <f t="shared" si="46"/>
        <v>933</v>
      </c>
      <c r="Q282" s="1">
        <f>SUM(A!P279:P285)/7</f>
        <v>836</v>
      </c>
      <c r="S282" s="4"/>
      <c r="T282" s="8"/>
      <c r="U282" s="8"/>
      <c r="V282" s="8"/>
      <c r="W282" s="8"/>
      <c r="Z282" s="10">
        <f t="shared" si="47"/>
        <v>43961</v>
      </c>
      <c r="AA282" s="1">
        <f>AI282*AI$3*2</f>
        <v>807750.00000000012</v>
      </c>
      <c r="AB282" s="1">
        <f t="shared" si="50"/>
        <v>15779.142857142857</v>
      </c>
      <c r="AC282" s="1">
        <f t="shared" si="51"/>
        <v>149964.94425697721</v>
      </c>
      <c r="AD282" s="1">
        <f t="shared" si="52"/>
        <v>315992.29375245573</v>
      </c>
      <c r="AF282" s="10">
        <f t="shared" si="48"/>
        <v>43961</v>
      </c>
      <c r="AG282" s="6">
        <f t="shared" si="53"/>
        <v>0.89072266125194899</v>
      </c>
      <c r="AH282" s="6">
        <f t="shared" si="49"/>
        <v>0.94497965300450215</v>
      </c>
      <c r="AI282" s="6">
        <f>V$44/V$57*AI$4</f>
        <v>0.47391051081002933</v>
      </c>
      <c r="AJ282" s="1"/>
    </row>
    <row r="283" spans="2:36" ht="15.6">
      <c r="B283" s="2">
        <f t="shared" si="45"/>
        <v>43962</v>
      </c>
      <c r="C283" s="1">
        <v>169575</v>
      </c>
      <c r="D283" s="1">
        <v>7417</v>
      </c>
      <c r="E283" s="1">
        <v>145600</v>
      </c>
      <c r="F283" s="1">
        <f>+A!C283-A!D283-A!E283</f>
        <v>16558</v>
      </c>
      <c r="G283" s="1"/>
      <c r="H283" s="4">
        <f>SUM(A!J283:J289)/7*1000000/A!H$3-SUM(A!F283:F289)/7*(1-A!N$3)</f>
        <v>136025.53365079366</v>
      </c>
      <c r="I283" s="7">
        <f>SUM(A!F280:F286)/7</f>
        <v>16451.428571428572</v>
      </c>
      <c r="J283" s="1">
        <v>1576</v>
      </c>
      <c r="K283" s="1">
        <v>44</v>
      </c>
      <c r="L283" s="1"/>
      <c r="M283" s="4">
        <f>A!D283-A!D284</f>
        <v>22</v>
      </c>
      <c r="N283" s="11">
        <f>SUM(A!P283:P289)/7*A!N$3</f>
        <v>18.285714285714288</v>
      </c>
      <c r="O283" s="4">
        <f>(SUM(A!M268:M274)/A!O$3*1000-SUM(A!P280:P286))/7+A!N282</f>
        <v>14583.309210071715</v>
      </c>
      <c r="P283" s="4">
        <f t="shared" si="46"/>
        <v>357</v>
      </c>
      <c r="Q283" s="1">
        <f>SUM(A!P280:P286)/7</f>
        <v>878.28571428571433</v>
      </c>
      <c r="S283" s="4"/>
      <c r="T283" s="8"/>
      <c r="U283" s="8"/>
      <c r="V283" s="8"/>
      <c r="W283" s="8"/>
      <c r="Z283" s="10">
        <f t="shared" si="47"/>
        <v>43960</v>
      </c>
      <c r="AA283" s="1">
        <f>AI283*AI$3*2</f>
        <v>807750.00000000012</v>
      </c>
      <c r="AB283" s="1">
        <f t="shared" si="50"/>
        <v>16451.428571428572</v>
      </c>
      <c r="AC283" s="1">
        <f t="shared" si="51"/>
        <v>153763.23463786481</v>
      </c>
      <c r="AD283" s="1">
        <f t="shared" si="52"/>
        <v>333183.45847216627</v>
      </c>
      <c r="AF283" s="10">
        <f t="shared" si="48"/>
        <v>43960</v>
      </c>
      <c r="AG283" s="6">
        <f t="shared" si="53"/>
        <v>0.889117122322447</v>
      </c>
      <c r="AH283" s="6">
        <f t="shared" si="49"/>
        <v>0.94557830210334837</v>
      </c>
      <c r="AI283" s="6">
        <f>V$44/V$57*AI$4</f>
        <v>0.47391051081002933</v>
      </c>
      <c r="AJ283" s="1"/>
    </row>
    <row r="284" spans="2:36" ht="15.6">
      <c r="B284" s="2">
        <f t="shared" si="45"/>
        <v>43961</v>
      </c>
      <c r="C284" s="1">
        <v>169218</v>
      </c>
      <c r="D284" s="1">
        <v>7395</v>
      </c>
      <c r="E284" s="1">
        <v>144400</v>
      </c>
      <c r="F284" s="1">
        <f>+A!C284-A!D284-A!E284</f>
        <v>17423</v>
      </c>
      <c r="G284" s="1"/>
      <c r="H284" s="4">
        <f>SUM(A!J284:J290)/7*1000000/A!H$3-SUM(A!F284:F290)/7*(1-A!N$3)</f>
        <v>139750.54158730159</v>
      </c>
      <c r="I284" s="7">
        <f>SUM(A!F281:F287)/7</f>
        <v>17145.142857142859</v>
      </c>
      <c r="J284" s="1">
        <v>1581</v>
      </c>
      <c r="K284" s="1">
        <v>-28</v>
      </c>
      <c r="L284" s="1"/>
      <c r="M284" s="4">
        <f>A!D284-A!D285</f>
        <v>26</v>
      </c>
      <c r="N284" s="11">
        <f>SUM(A!P284:P290)/7*A!N$3</f>
        <v>19.205714285714286</v>
      </c>
      <c r="O284" s="4">
        <f>(SUM(A!M269:M275)/A!O$3*1000-SUM(A!P281:P287))/7+A!N283</f>
        <v>15945.848348426947</v>
      </c>
      <c r="P284" s="4">
        <f t="shared" si="46"/>
        <v>667</v>
      </c>
      <c r="Q284" s="1">
        <f>SUM(A!P281:P287)/7</f>
        <v>928.42857142857144</v>
      </c>
      <c r="S284" s="4"/>
      <c r="T284" s="8"/>
      <c r="U284" s="8"/>
      <c r="V284" s="8"/>
      <c r="W284" s="8"/>
      <c r="Z284" s="10">
        <f t="shared" si="47"/>
        <v>43959</v>
      </c>
      <c r="AA284" s="1">
        <f>AI284*AI$3*2</f>
        <v>807750.00000000012</v>
      </c>
      <c r="AB284" s="1">
        <f t="shared" si="50"/>
        <v>17145.142857142859</v>
      </c>
      <c r="AC284" s="1">
        <f t="shared" si="51"/>
        <v>158270.98632221206</v>
      </c>
      <c r="AD284" s="1">
        <f t="shared" si="52"/>
        <v>365149.53249783849</v>
      </c>
      <c r="AF284" s="10">
        <f t="shared" si="48"/>
        <v>43959</v>
      </c>
      <c r="AG284" s="6">
        <f t="shared" si="53"/>
        <v>0.88750756152206156</v>
      </c>
      <c r="AH284" s="6">
        <f t="shared" si="49"/>
        <v>0.94792198471335265</v>
      </c>
      <c r="AI284" s="6">
        <f>V$44/V$57*AI$4</f>
        <v>0.47391051081002933</v>
      </c>
      <c r="AJ284" s="1"/>
    </row>
    <row r="285" spans="2:36" ht="15.6">
      <c r="B285" s="2">
        <f t="shared" si="45"/>
        <v>43960</v>
      </c>
      <c r="C285" s="1">
        <v>168551</v>
      </c>
      <c r="D285" s="1">
        <v>7369</v>
      </c>
      <c r="E285" s="1">
        <v>143300</v>
      </c>
      <c r="F285" s="1">
        <f>+A!C285-A!D285-A!E285</f>
        <v>17882</v>
      </c>
      <c r="G285" s="1"/>
      <c r="H285" s="4">
        <f>SUM(A!J285:J291)/7*1000000/A!H$3-SUM(A!F285:F291)/7*(1-A!N$3)</f>
        <v>143709.14984126986</v>
      </c>
      <c r="I285" s="7">
        <f>SUM(A!F282:F288)/7</f>
        <v>17922.142857142859</v>
      </c>
      <c r="J285" s="1">
        <v>1650</v>
      </c>
      <c r="K285" s="1">
        <v>26</v>
      </c>
      <c r="L285" s="1"/>
      <c r="M285" s="4">
        <f>A!D285-A!D286</f>
        <v>103</v>
      </c>
      <c r="N285" s="11">
        <f>SUM(A!P285:P291)/7*A!N$3</f>
        <v>19.565714285714286</v>
      </c>
      <c r="O285" s="4">
        <f>(SUM(A!M270:M276)/A!O$3*1000-SUM(A!P282:P288))/7+A!N284</f>
        <v>16501.308420666912</v>
      </c>
      <c r="P285" s="4">
        <f t="shared" si="46"/>
        <v>1251</v>
      </c>
      <c r="Q285" s="1">
        <f>SUM(A!P282:P288)/7</f>
        <v>949.71428571428567</v>
      </c>
      <c r="S285" s="4"/>
      <c r="T285" s="8"/>
      <c r="U285" s="8"/>
      <c r="V285" s="8"/>
      <c r="W285" s="8"/>
      <c r="Z285" s="10">
        <f t="shared" si="47"/>
        <v>43958</v>
      </c>
      <c r="AA285" s="1">
        <f>AI285*AI$3*2</f>
        <v>807750.00000000012</v>
      </c>
      <c r="AB285" s="1">
        <f t="shared" si="50"/>
        <v>17922.142857142859</v>
      </c>
      <c r="AC285" s="1">
        <f t="shared" si="51"/>
        <v>162553.62667950831</v>
      </c>
      <c r="AD285" s="1">
        <f t="shared" si="52"/>
        <v>381070.19621043908</v>
      </c>
      <c r="AF285" s="10">
        <f t="shared" si="48"/>
        <v>43958</v>
      </c>
      <c r="AG285" s="6">
        <f t="shared" si="53"/>
        <v>0.88532742766272743</v>
      </c>
      <c r="AH285" s="6">
        <f t="shared" si="49"/>
        <v>0.94764102120153426</v>
      </c>
      <c r="AI285" s="6">
        <f>V$44/V$57*AI$4</f>
        <v>0.47391051081002933</v>
      </c>
      <c r="AJ285" s="1"/>
    </row>
    <row r="286" spans="2:36" ht="15.6">
      <c r="B286" s="2">
        <f t="shared" ref="B286:B321" si="54">+B287+1</f>
        <v>43959</v>
      </c>
      <c r="C286" s="1">
        <v>167300</v>
      </c>
      <c r="D286" s="1">
        <v>7266</v>
      </c>
      <c r="E286" s="1">
        <v>141700</v>
      </c>
      <c r="F286" s="1">
        <f>+A!C286-A!D286-A!E286</f>
        <v>18334</v>
      </c>
      <c r="G286" s="1"/>
      <c r="H286" s="4">
        <f>SUM(A!J286:J292)/7*1000000/A!H$3-SUM(A!F286:F292)/7*(1-A!N$3)</f>
        <v>148332.48761904764</v>
      </c>
      <c r="I286" s="7">
        <f>SUM(A!F283:F289)/7</f>
        <v>18801.285714285714</v>
      </c>
      <c r="J286" s="1">
        <v>1712</v>
      </c>
      <c r="K286" s="1">
        <v>39</v>
      </c>
      <c r="L286" s="1"/>
      <c r="M286" s="4">
        <f>A!D286-A!D287</f>
        <v>147</v>
      </c>
      <c r="N286" s="11">
        <f>SUM(A!P286:P292)/7*A!N$3</f>
        <v>18.69142857142857</v>
      </c>
      <c r="O286" s="4">
        <f>(SUM(A!M271:M277)/A!O$3*1000-SUM(A!P283:P289))/7+A!N285</f>
        <v>16641.792589645604</v>
      </c>
      <c r="P286" s="4">
        <f t="shared" si="46"/>
        <v>1209</v>
      </c>
      <c r="Q286" s="1">
        <f>SUM(A!P283:P289)/7</f>
        <v>914.28571428571433</v>
      </c>
      <c r="S286" s="4"/>
      <c r="T286" s="8"/>
      <c r="U286" s="8"/>
      <c r="V286" s="8"/>
      <c r="W286" s="8"/>
      <c r="Z286" s="10">
        <f t="shared" si="47"/>
        <v>43957</v>
      </c>
      <c r="AA286" s="1">
        <f>AI286*AI$3*2</f>
        <v>807750.00000000012</v>
      </c>
      <c r="AB286" s="1">
        <f t="shared" si="50"/>
        <v>18801.285714285714</v>
      </c>
      <c r="AC286" s="1">
        <f t="shared" si="51"/>
        <v>166869.64006827227</v>
      </c>
      <c r="AD286" s="1">
        <f t="shared" si="52"/>
        <v>481903.56211471395</v>
      </c>
      <c r="AF286" s="10">
        <f t="shared" si="48"/>
        <v>43957</v>
      </c>
      <c r="AG286" s="6">
        <f t="shared" si="53"/>
        <v>0.8825882816529288</v>
      </c>
      <c r="AH286" s="6">
        <f t="shared" si="49"/>
        <v>0.95596359728733094</v>
      </c>
      <c r="AI286" s="6">
        <f>V$44/V$57*AI$4</f>
        <v>0.47391051081002933</v>
      </c>
      <c r="AJ286" s="1"/>
    </row>
    <row r="287" spans="2:36" ht="15.6">
      <c r="B287" s="2">
        <f t="shared" si="54"/>
        <v>43958</v>
      </c>
      <c r="C287" s="1">
        <v>166091</v>
      </c>
      <c r="D287" s="1">
        <v>7119</v>
      </c>
      <c r="E287" s="1">
        <v>139900</v>
      </c>
      <c r="F287" s="1">
        <f>+A!C287-A!D287-A!E287</f>
        <v>19072</v>
      </c>
      <c r="G287" s="1"/>
      <c r="H287" s="4">
        <f>SUM(A!J287:J293)/7*1000000/A!H$3-SUM(A!F287:F293)/7*(1-A!N$3)</f>
        <v>153123.61047619049</v>
      </c>
      <c r="I287" s="7">
        <f>SUM(A!F284:F290)/7</f>
        <v>19833.428571428572</v>
      </c>
      <c r="J287" s="1">
        <v>1823</v>
      </c>
      <c r="K287" s="1">
        <v>28</v>
      </c>
      <c r="L287" s="1"/>
      <c r="M287" s="4">
        <f>A!D287-A!D288</f>
        <v>123</v>
      </c>
      <c r="N287" s="11">
        <f>SUM(A!P287:P293)/7*A!N$3</f>
        <v>19.920000000000002</v>
      </c>
      <c r="O287" s="4">
        <f>(SUM(A!M272:M278)/A!O$3*1000-SUM(A!P284:P290))/7+A!N286</f>
        <v>17380.135285557244</v>
      </c>
      <c r="P287" s="4">
        <f t="shared" ref="P287:P295" si="55">C287-C288</f>
        <v>1284</v>
      </c>
      <c r="Q287" s="1">
        <f>SUM(A!P284:P290)/7</f>
        <v>960.28571428571433</v>
      </c>
      <c r="S287" s="4"/>
      <c r="T287" s="4"/>
      <c r="U287" s="4"/>
      <c r="V287" s="4"/>
      <c r="W287" s="4"/>
      <c r="X287" s="1"/>
      <c r="Y287" s="1"/>
      <c r="Z287" s="10">
        <f t="shared" si="47"/>
        <v>43956</v>
      </c>
      <c r="AA287" s="1">
        <f>AI287*AI$3*2</f>
        <v>807750.00000000012</v>
      </c>
      <c r="AB287" s="1">
        <f t="shared" si="50"/>
        <v>19833.428571428572</v>
      </c>
      <c r="AC287" s="1">
        <f t="shared" si="51"/>
        <v>172374.113517433</v>
      </c>
      <c r="AD287" s="1">
        <f t="shared" si="52"/>
        <v>575775.80687750271</v>
      </c>
      <c r="AF287" s="10">
        <f t="shared" si="48"/>
        <v>43956</v>
      </c>
      <c r="AG287" s="6">
        <f t="shared" si="53"/>
        <v>0.88029399242359618</v>
      </c>
      <c r="AH287" s="6">
        <f t="shared" si="49"/>
        <v>0.96088197774521356</v>
      </c>
      <c r="AI287" s="6">
        <f>V$44/V$57*AI$4</f>
        <v>0.47391051081002933</v>
      </c>
      <c r="AJ287" s="1"/>
    </row>
    <row r="288" spans="2:36" ht="15.6">
      <c r="B288" s="2">
        <f t="shared" si="54"/>
        <v>43957</v>
      </c>
      <c r="C288" s="1">
        <v>164807</v>
      </c>
      <c r="D288" s="1">
        <v>6996</v>
      </c>
      <c r="E288" s="1">
        <v>137400</v>
      </c>
      <c r="F288" s="1">
        <f>+A!C288-A!D288-A!E288</f>
        <v>20411</v>
      </c>
      <c r="G288" s="1"/>
      <c r="H288" s="4">
        <f>SUM(A!J288:J294)/7*1000000/A!H$3-SUM(A!F288:F294)/7*(1-A!N$3)</f>
        <v>157490.52507936506</v>
      </c>
      <c r="I288" s="7">
        <f>SUM(A!F285:F291)/7</f>
        <v>20951.142857142859</v>
      </c>
      <c r="J288" s="1">
        <v>1884</v>
      </c>
      <c r="K288" s="1">
        <v>24</v>
      </c>
      <c r="L288" s="1"/>
      <c r="M288" s="4">
        <f>A!D288-A!D289</f>
        <v>165</v>
      </c>
      <c r="N288" s="11">
        <f>SUM(A!P288:P294)/7*A!N$3</f>
        <v>20.474285714285713</v>
      </c>
      <c r="O288" s="4">
        <f>(SUM(A!M273:M279)/A!O$3*1000-SUM(A!P285:P291))/7+A!N287</f>
        <v>21237.10096634036</v>
      </c>
      <c r="P288" s="4">
        <f t="shared" si="55"/>
        <v>947</v>
      </c>
      <c r="Q288" s="1">
        <f>SUM(A!P285:P291)/7</f>
        <v>978.28571428571433</v>
      </c>
      <c r="S288" s="4"/>
      <c r="T288" s="4"/>
      <c r="U288" s="4"/>
      <c r="V288" s="4"/>
      <c r="W288" s="4"/>
      <c r="X288" s="1"/>
      <c r="Y288" s="1"/>
      <c r="Z288" s="10">
        <f t="shared" si="47"/>
        <v>43955</v>
      </c>
      <c r="AA288" s="1">
        <f>AI288*AI$3*2</f>
        <v>807750.00000000012</v>
      </c>
      <c r="AB288" s="1">
        <f t="shared" si="50"/>
        <v>20951.142857142859</v>
      </c>
      <c r="AC288" s="1">
        <f t="shared" si="51"/>
        <v>176962.80880161334</v>
      </c>
      <c r="AD288" s="1">
        <f t="shared" si="52"/>
        <v>590782.17146980448</v>
      </c>
      <c r="AF288" s="10">
        <f t="shared" si="48"/>
        <v>43955</v>
      </c>
      <c r="AG288" s="6">
        <f t="shared" si="53"/>
        <v>0.87758918969793276</v>
      </c>
      <c r="AH288" s="6">
        <f t="shared" si="49"/>
        <v>0.95989426082419882</v>
      </c>
      <c r="AI288" s="6">
        <f>V$44/V$57*AI$4</f>
        <v>0.47391051081002933</v>
      </c>
      <c r="AJ288" s="1" t="str">
        <f>AJ281</f>
        <v>x</v>
      </c>
    </row>
    <row r="289" spans="2:36" ht="15.6">
      <c r="B289" s="2">
        <f t="shared" si="54"/>
        <v>43956</v>
      </c>
      <c r="C289" s="1">
        <v>163860</v>
      </c>
      <c r="D289" s="1">
        <v>6831</v>
      </c>
      <c r="E289" s="1">
        <v>135100</v>
      </c>
      <c r="F289" s="1">
        <f>+A!C289-A!D289-A!E289</f>
        <v>21929</v>
      </c>
      <c r="G289" s="1"/>
      <c r="H289" s="4">
        <f>SUM(A!J289:J295)/7*1000000/A!H$3-SUM(A!F289:F295)/7*(1-A!N$3)</f>
        <v>162733.28222222222</v>
      </c>
      <c r="I289" s="7">
        <f>SUM(A!F286:F292)/7</f>
        <v>22129.142857142859</v>
      </c>
      <c r="J289" s="1">
        <v>1937</v>
      </c>
      <c r="K289" s="1">
        <v>73</v>
      </c>
      <c r="L289" s="1"/>
      <c r="M289" s="4">
        <f>A!D289-A!D290</f>
        <v>139</v>
      </c>
      <c r="N289" s="11">
        <f>SUM(A!P289:P295)/7*A!N$3</f>
        <v>21.494285714285716</v>
      </c>
      <c r="O289" s="4">
        <f>(SUM(A!M274:M280)/A!O$3*1000-SUM(A!P286:P292))/7+A!N288</f>
        <v>22956.499098570905</v>
      </c>
      <c r="P289" s="4">
        <f t="shared" si="55"/>
        <v>685</v>
      </c>
      <c r="Q289" s="1">
        <f>SUM(A!P286:P292)/7</f>
        <v>934.57142857142856</v>
      </c>
      <c r="S289" s="4"/>
      <c r="T289" s="4"/>
      <c r="U289" s="4"/>
      <c r="V289" s="4"/>
      <c r="W289" s="4"/>
      <c r="X289" s="1"/>
      <c r="Y289" s="1"/>
      <c r="Z289" s="10">
        <f t="shared" si="47"/>
        <v>43954</v>
      </c>
      <c r="AA289" s="1">
        <f>AI289*AI$3*2</f>
        <v>653575.99999999988</v>
      </c>
      <c r="AB289" s="1">
        <f t="shared" si="50"/>
        <v>22129.142857142859</v>
      </c>
      <c r="AC289" s="1">
        <f t="shared" si="51"/>
        <v>180170.51695393655</v>
      </c>
      <c r="AD289" s="1">
        <f t="shared" si="52"/>
        <v>664208.52699339332</v>
      </c>
      <c r="AF289" s="10">
        <f t="shared" si="48"/>
        <v>43954</v>
      </c>
      <c r="AG289" s="6">
        <f t="shared" si="53"/>
        <v>0.8737206753472414</v>
      </c>
      <c r="AH289" s="6">
        <f t="shared" si="49"/>
        <v>0.96227425854687776</v>
      </c>
      <c r="AI289" s="6">
        <f>V$45/V$57*AI$4</f>
        <v>0.38345594059198473</v>
      </c>
      <c r="AJ289" s="1"/>
    </row>
    <row r="290" spans="2:36" ht="15.6">
      <c r="B290" s="2">
        <f t="shared" si="54"/>
        <v>43955</v>
      </c>
      <c r="C290" s="1">
        <v>163175</v>
      </c>
      <c r="D290" s="1">
        <v>6692</v>
      </c>
      <c r="E290" s="1">
        <v>132700</v>
      </c>
      <c r="F290" s="1">
        <f>+A!C290-A!D290-A!E290</f>
        <v>23783</v>
      </c>
      <c r="G290" s="1"/>
      <c r="H290" s="4">
        <f>SUM(A!J290:J296)/7*1000000/A!H$3-SUM(A!F290:F296)/7*(1-A!N$3)</f>
        <v>167910.14095238099</v>
      </c>
      <c r="I290" s="7">
        <f>SUM(A!F287:F293)/7</f>
        <v>23421</v>
      </c>
      <c r="J290" s="1">
        <v>1949</v>
      </c>
      <c r="K290" s="1">
        <v>91</v>
      </c>
      <c r="L290" s="1"/>
      <c r="M290" s="4">
        <f>A!D290-A!D291</f>
        <v>43</v>
      </c>
      <c r="N290" s="11">
        <f>SUM(A!P290:P295)/7*A!N$3</f>
        <v>19.537142857142857</v>
      </c>
      <c r="O290" s="4">
        <f>(SUM(A!M275:M281)/A!O$3*1000-SUM(A!P287:P293))/7+A!N289</f>
        <v>23838.350905093441</v>
      </c>
      <c r="P290" s="4">
        <f t="shared" si="55"/>
        <v>679</v>
      </c>
      <c r="Q290" s="1">
        <f>SUM(A!P287:P293)/7</f>
        <v>996</v>
      </c>
      <c r="S290" s="4"/>
      <c r="T290" s="4"/>
      <c r="U290" s="4"/>
      <c r="V290" s="4"/>
      <c r="W290" s="4"/>
      <c r="X290" s="1"/>
      <c r="Y290" s="1"/>
      <c r="Z290" s="10">
        <f t="shared" si="47"/>
        <v>43953</v>
      </c>
      <c r="AA290" s="1">
        <f>AI290*AI$3*2</f>
        <v>653575.99999999988</v>
      </c>
      <c r="AB290" s="1">
        <f t="shared" si="50"/>
        <v>23421</v>
      </c>
      <c r="AC290" s="1">
        <f t="shared" si="51"/>
        <v>185777.90797241853</v>
      </c>
      <c r="AD290" s="1">
        <f t="shared" si="52"/>
        <v>670843.72163595748</v>
      </c>
      <c r="AF290" s="10">
        <f t="shared" si="48"/>
        <v>43953</v>
      </c>
      <c r="AG290" s="6">
        <f t="shared" si="53"/>
        <v>0.87060656228703837</v>
      </c>
      <c r="AH290" s="6">
        <f t="shared" si="49"/>
        <v>0.96046825033256589</v>
      </c>
      <c r="AI290" s="6">
        <f>V$45/V$57*AI$4</f>
        <v>0.38345594059198473</v>
      </c>
      <c r="AJ290" s="1"/>
    </row>
    <row r="291" spans="2:36" ht="15.6">
      <c r="B291" s="2">
        <f t="shared" si="54"/>
        <v>43954</v>
      </c>
      <c r="C291" s="1">
        <v>162496</v>
      </c>
      <c r="D291" s="1">
        <v>6649</v>
      </c>
      <c r="E291" s="1">
        <v>130600</v>
      </c>
      <c r="F291" s="1">
        <f>+A!C291-A!D291-A!E291</f>
        <v>25247</v>
      </c>
      <c r="G291" s="1"/>
      <c r="H291" s="4">
        <f>SUM(A!J291:J297)/7*1000000/A!H$3-SUM(A!F291:F297)/7*(1-A!N$3)</f>
        <v>172189.01079365081</v>
      </c>
      <c r="I291" s="7">
        <f>SUM(A!F288:F294)/7</f>
        <v>24886.571428571428</v>
      </c>
      <c r="J291" s="1">
        <v>1979</v>
      </c>
      <c r="K291" s="1">
        <v>-6</v>
      </c>
      <c r="L291" s="1"/>
      <c r="M291" s="4">
        <f>A!D291-A!D292</f>
        <v>74</v>
      </c>
      <c r="N291" s="11">
        <f>SUM(A!P291:P295)/7*A!N$3</f>
        <v>17.59714285714286</v>
      </c>
      <c r="O291" s="4">
        <f>(SUM(A!M276:M282)/A!O$3*1000-SUM(A!P288:P294))/7+A!N290</f>
        <v>26111.982622624717</v>
      </c>
      <c r="P291" s="4">
        <f t="shared" si="55"/>
        <v>793</v>
      </c>
      <c r="Q291" s="1">
        <f>SUM(A!P288:P294)/7</f>
        <v>1023.7142857142857</v>
      </c>
      <c r="R291" s="1"/>
      <c r="S291" s="1"/>
      <c r="T291" s="1"/>
      <c r="U291" s="1"/>
      <c r="V291" s="1"/>
      <c r="W291" s="1"/>
      <c r="X291" s="1"/>
      <c r="Y291" s="1"/>
      <c r="Z291" s="10">
        <f t="shared" si="47"/>
        <v>43952</v>
      </c>
      <c r="AA291" s="1">
        <f>AI291*AI$3*2</f>
        <v>653575.99999999988</v>
      </c>
      <c r="AB291" s="1">
        <f t="shared" si="50"/>
        <v>24886.571428571428</v>
      </c>
      <c r="AC291" s="1">
        <f t="shared" si="51"/>
        <v>190763.58548429483</v>
      </c>
      <c r="AD291" s="1">
        <f t="shared" si="52"/>
        <v>664732.05333146185</v>
      </c>
      <c r="AF291" s="10">
        <f t="shared" si="48"/>
        <v>43952</v>
      </c>
      <c r="AG291" s="6">
        <f t="shared" si="53"/>
        <v>0.86672612956046247</v>
      </c>
      <c r="AH291" s="6">
        <f t="shared" si="49"/>
        <v>0.95773719382815459</v>
      </c>
      <c r="AI291" s="6">
        <f>V$45/V$57*AI$4</f>
        <v>0.38345594059198473</v>
      </c>
      <c r="AJ291" s="1"/>
    </row>
    <row r="292" spans="2:36" ht="15.6">
      <c r="B292" s="2">
        <f t="shared" si="54"/>
        <v>43953</v>
      </c>
      <c r="C292" s="1">
        <v>161703</v>
      </c>
      <c r="D292" s="1">
        <v>6575</v>
      </c>
      <c r="E292" s="1">
        <v>129000</v>
      </c>
      <c r="F292" s="1">
        <f>+A!C292-A!D292-A!E292</f>
        <v>26128</v>
      </c>
      <c r="G292" s="1"/>
      <c r="H292" s="4">
        <f>SUM(A!J292:J298)/7*1000000/A!H$3-SUM(A!F292:F298)/7*(1-A!N$3)</f>
        <v>177745.19873015874</v>
      </c>
      <c r="I292" s="7">
        <f>SUM(A!F289:F295)/7</f>
        <v>26417.285714285714</v>
      </c>
      <c r="J292" s="1">
        <v>2105</v>
      </c>
      <c r="K292" s="1">
        <v>46</v>
      </c>
      <c r="L292" s="1"/>
      <c r="M292" s="4">
        <f>A!D292-A!D293</f>
        <v>94</v>
      </c>
      <c r="N292" s="11">
        <f>SUM(A!P292:P295)/7*A!N$3</f>
        <v>15.331428571428571</v>
      </c>
      <c r="O292" s="4">
        <f>(SUM(A!M277:M283)/A!O$3*1000-SUM(A!P289:P295))/7+A!N291</f>
        <v>26111.390421399778</v>
      </c>
      <c r="P292" s="4">
        <f t="shared" si="55"/>
        <v>945</v>
      </c>
      <c r="Q292" s="1">
        <f>SUM(A!P289:P295)/7</f>
        <v>1074.7142857142858</v>
      </c>
      <c r="R292" s="1"/>
      <c r="S292" s="1"/>
      <c r="T292" s="1"/>
      <c r="U292" s="1"/>
      <c r="V292" s="1"/>
      <c r="W292" s="1"/>
      <c r="X292" s="1"/>
      <c r="Y292" s="1"/>
      <c r="Z292" s="10">
        <f t="shared" si="47"/>
        <v>43951</v>
      </c>
      <c r="AA292" s="1">
        <f>AI292*AI$3*2</f>
        <v>653575.99999999988</v>
      </c>
      <c r="AB292" s="1">
        <f t="shared" si="50"/>
        <v>26417.285714285714</v>
      </c>
      <c r="AC292" s="1">
        <f t="shared" si="51"/>
        <v>196810.98344654901</v>
      </c>
      <c r="AD292" s="1">
        <f t="shared" si="52"/>
        <v>738079.93413642317</v>
      </c>
      <c r="AF292" s="10">
        <f t="shared" si="48"/>
        <v>43951</v>
      </c>
      <c r="AG292" s="6">
        <f t="shared" si="53"/>
        <v>0.86341062242361977</v>
      </c>
      <c r="AH292" s="6">
        <f t="shared" si="49"/>
        <v>0.95952366676947787</v>
      </c>
      <c r="AI292" s="6">
        <f>V$45/V$57*AI$4</f>
        <v>0.38345594059198473</v>
      </c>
      <c r="AJ292" s="1"/>
    </row>
    <row r="293" spans="2:36" ht="15.6">
      <c r="B293" s="2">
        <f t="shared" si="54"/>
        <v>43952</v>
      </c>
      <c r="C293" s="1">
        <v>160758</v>
      </c>
      <c r="D293" s="1">
        <v>6481</v>
      </c>
      <c r="E293" s="1">
        <v>126900</v>
      </c>
      <c r="F293" s="1">
        <f>+A!C293-A!D293-A!E293</f>
        <v>27377</v>
      </c>
      <c r="G293" s="1"/>
      <c r="H293" s="4">
        <f>SUM(A!J293:J299)/7*1000000/A!H$3-SUM(A!F293:F299)/7*(1-A!N$3)</f>
        <v>182108.56063492066</v>
      </c>
      <c r="I293" s="7">
        <f>SUM(A!F290:F296)/7</f>
        <v>28002.285714285714</v>
      </c>
      <c r="J293" s="1">
        <v>2189</v>
      </c>
      <c r="K293" s="1">
        <v>40</v>
      </c>
      <c r="L293" s="1"/>
      <c r="M293" s="4">
        <f>A!D293-A!D294</f>
        <v>193</v>
      </c>
      <c r="N293" s="11">
        <f>SUM(A!P293:P295)/7*A!N$3</f>
        <v>12.631428571428572</v>
      </c>
      <c r="O293" s="4">
        <f>(SUM(A!M278:M284)/A!O$3*1000-SUM(A!P290:P295))/7+A!N292</f>
        <v>25840.547258545779</v>
      </c>
      <c r="P293" s="4">
        <f t="shared" si="55"/>
        <v>1639</v>
      </c>
      <c r="Q293" s="1">
        <f>SUM(A!P290:P296)/7</f>
        <v>1140.2857142857142</v>
      </c>
      <c r="R293" s="1"/>
      <c r="S293" s="1"/>
      <c r="T293" s="1"/>
      <c r="U293" s="1"/>
      <c r="V293" s="1"/>
      <c r="W293" s="1"/>
      <c r="X293" s="1"/>
      <c r="Y293" s="1"/>
      <c r="Z293" s="10">
        <f t="shared" si="47"/>
        <v>43950</v>
      </c>
      <c r="AA293" s="1">
        <f>AI293*AI$3*2</f>
        <v>653575.99999999988</v>
      </c>
      <c r="AB293" s="1">
        <f t="shared" si="50"/>
        <v>28002.285714285714</v>
      </c>
      <c r="AC293" s="1">
        <f t="shared" si="51"/>
        <v>202917.67036271701</v>
      </c>
      <c r="AD293" s="1">
        <f t="shared" si="52"/>
        <v>761650.15953280078</v>
      </c>
      <c r="AF293" s="10">
        <f t="shared" si="48"/>
        <v>43950</v>
      </c>
      <c r="AG293" s="6">
        <f t="shared" si="53"/>
        <v>0.86014204881553047</v>
      </c>
      <c r="AH293" s="6">
        <f t="shared" si="49"/>
        <v>0.9584793564140448</v>
      </c>
      <c r="AI293" s="6">
        <f>V$45/V$57*AI$4</f>
        <v>0.38345594059198473</v>
      </c>
      <c r="AJ293" s="1"/>
    </row>
    <row r="294" spans="2:36" ht="15.6">
      <c r="B294" s="2">
        <f t="shared" si="54"/>
        <v>43951</v>
      </c>
      <c r="C294" s="1">
        <v>159119</v>
      </c>
      <c r="D294" s="1">
        <v>6288</v>
      </c>
      <c r="E294" s="1">
        <v>123500</v>
      </c>
      <c r="F294" s="1">
        <f>+A!C294-A!D294-A!E294</f>
        <v>29331</v>
      </c>
      <c r="G294" s="1"/>
      <c r="H294" s="4">
        <f>SUM(A!J294:J300)/7*1000000/A!H$3-SUM(A!F294:F300)/7*(1-A!N$3)</f>
        <v>187086.24793650792</v>
      </c>
      <c r="I294" s="7">
        <f>SUM(A!F291:F297)/7</f>
        <v>29596.571428571428</v>
      </c>
      <c r="J294" s="1">
        <v>2280</v>
      </c>
      <c r="K294" s="1">
        <v>52</v>
      </c>
      <c r="L294" s="1"/>
      <c r="M294" s="4">
        <f>A!D294-A!D295</f>
        <v>173</v>
      </c>
      <c r="N294" s="11">
        <f>SUM(A!P294:P296)/7*A!N$3</f>
        <v>11.217142857142859</v>
      </c>
      <c r="O294" s="4">
        <f>(SUM(A!M279:M285)/A!O$3*1000-SUM(A!P291:P296))/7+A!N293</f>
        <v>28179.417430770038</v>
      </c>
      <c r="P294" s="4">
        <f t="shared" si="55"/>
        <v>1478</v>
      </c>
      <c r="Q294" s="1">
        <f>SUM(A!P291:P297)/7</f>
        <v>1188.7142857142858</v>
      </c>
      <c r="R294" s="1"/>
      <c r="S294" s="1"/>
      <c r="T294" s="1"/>
      <c r="U294" s="1"/>
      <c r="V294" s="1"/>
      <c r="W294" s="1"/>
      <c r="X294" s="1"/>
      <c r="Y294" s="1"/>
      <c r="Z294" s="10">
        <f t="shared" si="47"/>
        <v>43949</v>
      </c>
      <c r="AA294" s="1">
        <f>AI294*AI$3*2</f>
        <v>653575.99999999988</v>
      </c>
      <c r="AB294" s="1">
        <f t="shared" si="50"/>
        <v>29596.571428571428</v>
      </c>
      <c r="AC294" s="1">
        <f t="shared" si="51"/>
        <v>207496.91279073004</v>
      </c>
      <c r="AD294" s="1">
        <f t="shared" si="52"/>
        <v>756836.63063770579</v>
      </c>
      <c r="AF294" s="10">
        <f t="shared" si="48"/>
        <v>43949</v>
      </c>
      <c r="AG294" s="6">
        <f t="shared" si="53"/>
        <v>0.85631852108991435</v>
      </c>
      <c r="AH294" s="6">
        <f t="shared" si="49"/>
        <v>0.95602128752166859</v>
      </c>
      <c r="AI294" s="6">
        <f>V$45/V$57*AI$4</f>
        <v>0.38345594059198473</v>
      </c>
      <c r="AJ294" s="1"/>
    </row>
    <row r="295" spans="2:36" ht="15.6">
      <c r="B295" s="2">
        <f t="shared" si="54"/>
        <v>43950</v>
      </c>
      <c r="C295" s="1">
        <v>157641</v>
      </c>
      <c r="D295" s="1">
        <v>6115</v>
      </c>
      <c r="E295" s="1">
        <v>120400</v>
      </c>
      <c r="F295" s="1">
        <f>+A!C295-A!D295-A!E295</f>
        <v>31126</v>
      </c>
      <c r="G295" s="1"/>
      <c r="H295" s="4">
        <f>SUM(A!J295:J301)/7*1000000/A!H$3-SUM(A!F295:F301)/7*(1-A!N$3)</f>
        <v>191939.7206349207</v>
      </c>
      <c r="I295" s="7">
        <f>SUM(A!F292:F298)/7</f>
        <v>31209.142857142859</v>
      </c>
      <c r="J295" s="1">
        <v>2415</v>
      </c>
      <c r="K295" s="1">
        <v>69</v>
      </c>
      <c r="L295" s="1"/>
      <c r="M295" s="4">
        <f>A!D295-A!D296</f>
        <v>202</v>
      </c>
      <c r="N295" s="11">
        <f>SUM(A!P295:P297)/7*A!N$3</f>
        <v>9.9028571428571439</v>
      </c>
      <c r="O295" s="4">
        <f>(SUM(A!M280:M286)/A!O$3*1000-SUM(A!P292:P297))/7+A!N294</f>
        <v>30553.85903156572</v>
      </c>
      <c r="P295" s="4">
        <f t="shared" si="55"/>
        <v>1304</v>
      </c>
      <c r="Q295" s="1">
        <f>SUM(A!P292:P298)/7</f>
        <v>1323.5714285714287</v>
      </c>
      <c r="R295" s="1"/>
      <c r="S295" s="1"/>
      <c r="T295" s="1"/>
      <c r="U295" s="1"/>
      <c r="V295" s="1"/>
      <c r="W295" s="1"/>
      <c r="X295" s="1"/>
      <c r="Y295" s="1"/>
      <c r="Z295" s="10">
        <f t="shared" si="47"/>
        <v>43948</v>
      </c>
      <c r="AA295" s="1">
        <f>AI295*AI$3*2</f>
        <v>653575.99999999988</v>
      </c>
      <c r="AB295" s="1">
        <f t="shared" si="50"/>
        <v>31209.142857142859</v>
      </c>
      <c r="AC295" s="1">
        <f t="shared" si="51"/>
        <v>212137.51695215161</v>
      </c>
      <c r="AD295" s="1">
        <f t="shared" si="52"/>
        <v>819719.85533796367</v>
      </c>
      <c r="AF295" s="10">
        <f t="shared" si="48"/>
        <v>43948</v>
      </c>
      <c r="AG295" s="6">
        <f t="shared" si="53"/>
        <v>0.85314995073493116</v>
      </c>
      <c r="AH295" s="6">
        <f t="shared" si="49"/>
        <v>0.95735446942204339</v>
      </c>
      <c r="AI295" s="6">
        <f>V$45/V$57*AI$4</f>
        <v>0.38345594059198473</v>
      </c>
      <c r="AJ295" s="1" t="str">
        <f>AJ288</f>
        <v>x</v>
      </c>
    </row>
    <row r="296" spans="2:36" ht="15.6">
      <c r="B296" s="2">
        <f t="shared" si="54"/>
        <v>43949</v>
      </c>
      <c r="C296" s="1">
        <v>156337</v>
      </c>
      <c r="D296" s="1">
        <v>5913</v>
      </c>
      <c r="E296" s="1">
        <v>117400</v>
      </c>
      <c r="F296" s="1">
        <f>+A!C296-A!D296-A!E296</f>
        <v>33024</v>
      </c>
      <c r="G296" s="1"/>
      <c r="H296" s="4">
        <f>SUM(A!J296:J302)/7*1000000/A!H$3-SUM(A!F296:F302)/7*(1-A!N$3)</f>
        <v>195375.45111111112</v>
      </c>
      <c r="I296" s="7">
        <f>SUM(A!F293:F299)/7</f>
        <v>32782</v>
      </c>
      <c r="J296" s="1">
        <v>2467</v>
      </c>
      <c r="K296" s="1">
        <v>68</v>
      </c>
      <c r="L296" s="1"/>
      <c r="M296" s="4">
        <f>A!D296-A!D297</f>
        <v>163</v>
      </c>
      <c r="N296" s="11">
        <f>SUM(A!P296:P298)/7*A!N$3</f>
        <v>11.14</v>
      </c>
      <c r="O296" s="4">
        <f>(SUM(A!M281:M287)/A!O$3*1000-SUM(A!P293:P298))/7+A!N295</f>
        <v>32219.227047060671</v>
      </c>
      <c r="P296" s="4">
        <f>A!C296-A!C297</f>
        <v>1144</v>
      </c>
      <c r="Q296" s="1">
        <f>SUM(A!P293:P299)/7</f>
        <v>1482.1428571428571</v>
      </c>
      <c r="R296" s="1"/>
      <c r="S296" s="1"/>
      <c r="T296" s="1"/>
      <c r="U296" s="1"/>
      <c r="V296" s="1"/>
      <c r="W296" s="1"/>
      <c r="X296" s="1"/>
      <c r="Y296" s="1"/>
      <c r="Z296" s="10">
        <f t="shared" si="47"/>
        <v>43947</v>
      </c>
      <c r="AA296" s="1">
        <f>AI296*AI$3*2</f>
        <v>807750.00000000012</v>
      </c>
      <c r="AB296" s="1">
        <f t="shared" si="50"/>
        <v>32782</v>
      </c>
      <c r="AC296" s="1">
        <f t="shared" si="51"/>
        <v>216648.75168987445</v>
      </c>
      <c r="AD296" s="1">
        <f t="shared" si="52"/>
        <v>820109.46939892182</v>
      </c>
      <c r="AF296" s="10">
        <f t="shared" si="48"/>
        <v>43947</v>
      </c>
      <c r="AG296" s="6">
        <f t="shared" si="53"/>
        <v>0.84994708741312153</v>
      </c>
      <c r="AH296" s="6">
        <f t="shared" si="49"/>
        <v>0.95544047630087758</v>
      </c>
      <c r="AI296" s="6">
        <f>V$44/V$57*AI$4</f>
        <v>0.47391051081002933</v>
      </c>
      <c r="AJ296" s="1"/>
    </row>
    <row r="297" spans="2:36" ht="15.6">
      <c r="B297" s="2">
        <f t="shared" si="54"/>
        <v>43948</v>
      </c>
      <c r="C297" s="1">
        <v>155193</v>
      </c>
      <c r="D297" s="1">
        <v>5750</v>
      </c>
      <c r="E297" s="1">
        <v>114500</v>
      </c>
      <c r="F297" s="1">
        <f>+A!C297-A!D297-A!E297</f>
        <v>34943</v>
      </c>
      <c r="G297" s="1"/>
      <c r="H297" s="4">
        <f>SUM(A!J297:J303)/7*1000000/A!H$3-SUM(A!F297:F303)/7*(1-A!N$3)</f>
        <v>199486.55111111113</v>
      </c>
      <c r="I297" s="7">
        <f>SUM(A!F294:F300)/7</f>
        <v>34337</v>
      </c>
      <c r="J297" s="1">
        <v>2409</v>
      </c>
      <c r="K297" s="1">
        <v>24</v>
      </c>
      <c r="L297" s="1"/>
      <c r="M297" s="4">
        <f>A!D297-A!D298</f>
        <v>110</v>
      </c>
      <c r="N297" s="11">
        <f>SUM(A!P297:P299)/7*A!N$3</f>
        <v>13.742857142857142</v>
      </c>
      <c r="O297" s="4">
        <f>(SUM(A!M282:M288)/A!O$3*1000-SUM(A!P294:P299))/7+A!N296</f>
        <v>35511.294740093173</v>
      </c>
      <c r="P297" s="4">
        <f>A!C297-A!C298</f>
        <v>1018</v>
      </c>
      <c r="Q297" s="1">
        <f>SUM(A!P294:P300)/7</f>
        <v>1581.8571428571429</v>
      </c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2:36" ht="15.6">
      <c r="B298" s="2">
        <f t="shared" si="54"/>
        <v>43947</v>
      </c>
      <c r="C298" s="1">
        <v>154175</v>
      </c>
      <c r="D298" s="1">
        <v>5640</v>
      </c>
      <c r="E298" s="1">
        <v>112000</v>
      </c>
      <c r="F298" s="1">
        <f>+A!C298-A!D298-A!E298</f>
        <v>36535</v>
      </c>
      <c r="G298" s="1"/>
      <c r="H298" s="4">
        <f>SUM(A!J298:J304)/7*1000000/A!H$3-SUM(A!F298:F304)/7*(1-A!N$3)</f>
        <v>202847.24158730154</v>
      </c>
      <c r="I298" s="7">
        <f>SUM(A!F295:F301)/7</f>
        <v>35811.428571428572</v>
      </c>
      <c r="J298" s="1">
        <v>2541</v>
      </c>
      <c r="K298" s="1">
        <v>29</v>
      </c>
      <c r="L298" s="1"/>
      <c r="M298" s="4">
        <f>A!D298-A!D299</f>
        <v>140</v>
      </c>
      <c r="N298" s="11">
        <f>SUM(A!P298:P300)/7*A!N$3</f>
        <v>17.511428571428571</v>
      </c>
      <c r="O298" s="4">
        <f>(SUM(A!M283:M289)/A!O$3*1000-SUM(A!P295:P300))/7+A!N297</f>
        <v>36595.182683348161</v>
      </c>
      <c r="P298" s="4">
        <f>A!C298-A!C299</f>
        <v>1737</v>
      </c>
      <c r="Q298" s="1">
        <f>SUM(A!P295:P301)/7</f>
        <v>1706.7142857142858</v>
      </c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2:36" ht="15.6">
      <c r="B299" s="2">
        <f t="shared" si="54"/>
        <v>43946</v>
      </c>
      <c r="C299" s="1">
        <v>152438</v>
      </c>
      <c r="D299" s="1">
        <v>5500</v>
      </c>
      <c r="E299" s="1">
        <v>109800</v>
      </c>
      <c r="F299" s="1">
        <f>+A!C299-A!D299-A!E299</f>
        <v>37138</v>
      </c>
      <c r="G299" s="1"/>
      <c r="H299" s="4">
        <f>SUM(A!J299:J305)/7*1000000/A!H$3-SUM(A!F299:F305)/7*(1-A!N$3)</f>
        <v>205716.76920634918</v>
      </c>
      <c r="I299" s="7">
        <f>SUM(A!F296:F302)/7</f>
        <v>37281.285714285717</v>
      </c>
      <c r="J299" s="1">
        <v>2570</v>
      </c>
      <c r="K299" s="1">
        <v>22</v>
      </c>
      <c r="L299" s="1"/>
      <c r="M299" s="4">
        <f>A!D299-A!D300</f>
        <v>179</v>
      </c>
      <c r="N299" s="11">
        <f>SUM(A!P299:P301)/7*A!N$3</f>
        <v>19.26857142857143</v>
      </c>
      <c r="O299" s="4"/>
      <c r="P299" s="4">
        <f>A!C299-A!C300</f>
        <v>2055</v>
      </c>
      <c r="Q299" s="1">
        <f>SUM(A!P296:P302)/7</f>
        <v>1520.4285714285713</v>
      </c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2:36" ht="15.6">
      <c r="B300" s="2">
        <f t="shared" si="54"/>
        <v>43945</v>
      </c>
      <c r="C300" s="1">
        <v>150383</v>
      </c>
      <c r="D300" s="1">
        <v>5321</v>
      </c>
      <c r="E300" s="1">
        <v>106800</v>
      </c>
      <c r="F300" s="1">
        <f>+A!C300-A!D300-A!E300</f>
        <v>38262</v>
      </c>
      <c r="G300" s="1"/>
      <c r="H300" s="4">
        <f>SUM(A!J300:J306)/7*1000000/A!H$3-SUM(A!F300:F306)/7*(1-A!N$3)</f>
        <v>208675.87047619044</v>
      </c>
      <c r="I300" s="7">
        <f>SUM(A!F297:F303)/7</f>
        <v>38800.571428571428</v>
      </c>
      <c r="J300" s="1">
        <v>2701</v>
      </c>
      <c r="K300" s="1">
        <v>39</v>
      </c>
      <c r="L300" s="1"/>
      <c r="M300" s="4">
        <f>A!D300-A!D301</f>
        <v>227</v>
      </c>
      <c r="N300" s="1"/>
      <c r="O300" s="1"/>
      <c r="P300" s="4">
        <f>A!C300-A!C301</f>
        <v>2337</v>
      </c>
      <c r="Q300" s="1">
        <f>SUM(A!P297:P303)/7</f>
        <v>1357</v>
      </c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2:36" ht="15.6">
      <c r="B301" s="2">
        <f t="shared" si="54"/>
        <v>43944</v>
      </c>
      <c r="C301" s="1">
        <v>148046</v>
      </c>
      <c r="D301" s="1">
        <v>5094</v>
      </c>
      <c r="E301" s="1">
        <v>103300</v>
      </c>
      <c r="F301" s="1">
        <f>+A!C301-A!D301-A!E301</f>
        <v>39652</v>
      </c>
      <c r="G301" s="1"/>
      <c r="H301" s="4">
        <f>SUM(A!J301:J307)/7*1000000/A!H$3-SUM(A!F301:F307)/7*(1-A!N$3)</f>
        <v>209410.50539682541</v>
      </c>
      <c r="I301" s="7">
        <f>SUM(A!F298:F304)/7</f>
        <v>40347</v>
      </c>
      <c r="J301" s="1">
        <v>2776</v>
      </c>
      <c r="K301" s="1">
        <v>115</v>
      </c>
      <c r="L301" s="1"/>
      <c r="M301" s="4">
        <f>A!D301-A!D302</f>
        <v>215</v>
      </c>
      <c r="N301" s="1"/>
      <c r="O301" s="1"/>
      <c r="P301" s="4">
        <f>A!C301-A!C302</f>
        <v>2352</v>
      </c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2:36" ht="15.6">
      <c r="B302" s="2">
        <f t="shared" si="54"/>
        <v>43943</v>
      </c>
      <c r="C302" s="1">
        <v>145694</v>
      </c>
      <c r="D302" s="1">
        <v>4879</v>
      </c>
      <c r="E302" s="1">
        <v>99400</v>
      </c>
      <c r="F302" s="1">
        <f>+A!C302-A!D302-A!E302</f>
        <v>41415</v>
      </c>
      <c r="G302" s="1"/>
      <c r="H302" s="4">
        <f>SUM(A!J302:J308)/7*1000000/A!H$3-SUM(A!F302:F308)/7*(1-A!N$3)</f>
        <v>207940.35015873014</v>
      </c>
      <c r="I302" s="7">
        <f>SUM(A!F299:F305)/7</f>
        <v>41928.142857142855</v>
      </c>
      <c r="J302" s="1">
        <v>2799</v>
      </c>
      <c r="K302" s="1">
        <v>91</v>
      </c>
      <c r="L302" s="1"/>
      <c r="M302" s="4">
        <f>A!D302-A!D303</f>
        <v>281</v>
      </c>
      <c r="N302" s="1"/>
      <c r="O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2:36" ht="15.6">
      <c r="B303" s="2">
        <f t="shared" si="54"/>
        <v>43942</v>
      </c>
      <c r="C303" s="1">
        <v>143457</v>
      </c>
      <c r="D303" s="1">
        <v>4598</v>
      </c>
      <c r="E303" s="1">
        <v>95200</v>
      </c>
      <c r="F303" s="1">
        <f>+A!C303-A!D303-A!E303</f>
        <v>43659</v>
      </c>
      <c r="G303" s="1"/>
      <c r="H303" s="4">
        <f>SUM(A!J303:J309)/7*1000000/A!H$3-SUM(A!F303:F309)/7*(1-A!N$3)</f>
        <v>204972.44063492067</v>
      </c>
      <c r="I303" s="7">
        <f>SUM(A!F300:F306)/7</f>
        <v>43469.714285714283</v>
      </c>
      <c r="J303" s="1">
        <v>2908</v>
      </c>
      <c r="K303" s="1">
        <v>108</v>
      </c>
      <c r="L303" s="1"/>
      <c r="M303" s="4">
        <f>A!D303-A!D304</f>
        <v>194</v>
      </c>
      <c r="N303" s="1"/>
      <c r="O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2:36" ht="15.6">
      <c r="B304" s="2">
        <f t="shared" si="54"/>
        <v>43941</v>
      </c>
      <c r="C304" s="1">
        <v>141672</v>
      </c>
      <c r="D304" s="1">
        <v>4404</v>
      </c>
      <c r="E304" s="1">
        <v>91500</v>
      </c>
      <c r="F304" s="1">
        <f>+A!C304-A!D304-A!E304</f>
        <v>45768</v>
      </c>
      <c r="G304" s="1"/>
      <c r="H304" s="4">
        <f>SUM(A!J304:J310)/7*1000000/A!H$3-SUM(A!F304:F310)/7*(1-A!N$3)</f>
        <v>198187.30730158734</v>
      </c>
      <c r="I304" s="7">
        <f>SUM(A!F301:F307)/7</f>
        <v>44884</v>
      </c>
      <c r="J304" s="1">
        <v>2793</v>
      </c>
      <c r="K304" s="1">
        <v>59</v>
      </c>
      <c r="L304" s="1"/>
      <c r="M304" s="4">
        <f>A!D304-A!D305</f>
        <v>110</v>
      </c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2:36" ht="15.6">
      <c r="B305" s="2">
        <f t="shared" si="54"/>
        <v>43940</v>
      </c>
      <c r="C305" s="1">
        <v>139897</v>
      </c>
      <c r="D305" s="1">
        <v>4294</v>
      </c>
      <c r="E305" s="1">
        <v>88000</v>
      </c>
      <c r="F305" s="1">
        <f>+A!C305-A!D305-A!E305</f>
        <v>47603</v>
      </c>
      <c r="G305" s="1"/>
      <c r="H305" s="4">
        <f>SUM(A!J305:J311)/7*1000000/A!H$3-SUM(A!F305:F311)/7*(1-A!N$3)</f>
        <v>192372.79650793649</v>
      </c>
      <c r="I305" s="7">
        <f>SUM(A!F302:F308)/7</f>
        <v>46345.285714285717</v>
      </c>
      <c r="J305" s="1">
        <v>2889</v>
      </c>
      <c r="K305" s="1">
        <v>50</v>
      </c>
      <c r="L305" s="1"/>
      <c r="M305" s="4">
        <f>A!D305-A!D306</f>
        <v>184</v>
      </c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2:36" ht="15.6">
      <c r="B306" s="2">
        <f t="shared" si="54"/>
        <v>43939</v>
      </c>
      <c r="C306" s="1">
        <v>137439</v>
      </c>
      <c r="D306" s="1">
        <v>4110</v>
      </c>
      <c r="E306" s="1">
        <v>85400</v>
      </c>
      <c r="F306" s="1">
        <f>+A!C306-A!D306-A!E306</f>
        <v>47929</v>
      </c>
      <c r="G306" s="1"/>
      <c r="H306" s="4">
        <f>SUM(A!J306:J312)/7*1000000/A!H$3-SUM(A!F306:F312)/7*(1-A!N$3)</f>
        <v>184840.34476190474</v>
      </c>
      <c r="I306" s="7">
        <f>SUM(A!F303:F309)/7</f>
        <v>47818.857142857145</v>
      </c>
      <c r="J306" s="1">
        <v>2922</v>
      </c>
      <c r="K306" s="1">
        <v>123</v>
      </c>
      <c r="L306" s="1"/>
      <c r="M306" s="4">
        <f>A!D306-A!D307</f>
        <v>242</v>
      </c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2:36" ht="15.6">
      <c r="B307" s="2">
        <f t="shared" si="54"/>
        <v>43938</v>
      </c>
      <c r="C307" s="1">
        <v>133830</v>
      </c>
      <c r="D307" s="1">
        <v>3868</v>
      </c>
      <c r="E307" s="1">
        <v>81800</v>
      </c>
      <c r="F307" s="1">
        <f>+A!C307-A!D307-A!E307</f>
        <v>48162</v>
      </c>
      <c r="G307" s="1"/>
      <c r="H307" s="4">
        <f>SUM(A!J307:J313)/7*1000000/A!H$3-SUM(A!F307:F313)/7*(1-A!N$3)</f>
        <v>174352.98444444445</v>
      </c>
      <c r="I307" s="7">
        <f>SUM(A!F304:F310)/7</f>
        <v>49300.285714285717</v>
      </c>
      <c r="J307" s="1">
        <v>2868</v>
      </c>
      <c r="K307" s="1">
        <v>305</v>
      </c>
      <c r="L307" s="1"/>
      <c r="M307" s="4">
        <f>A!D307-A!D308</f>
        <v>299</v>
      </c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2:36" ht="15.6">
      <c r="B308" s="2">
        <f t="shared" si="54"/>
        <v>43937</v>
      </c>
      <c r="C308" s="1">
        <v>130450</v>
      </c>
      <c r="D308" s="1">
        <v>3569</v>
      </c>
      <c r="E308" s="1">
        <v>77000</v>
      </c>
      <c r="F308" s="1">
        <f>+A!C308-A!D308-A!E308</f>
        <v>49881</v>
      </c>
      <c r="G308" s="1"/>
      <c r="H308" s="4">
        <f>SUM(A!J308:J314)/7*1000000/A!H$3-SUM(A!F308:F314)/7*(1-A!N$3)</f>
        <v>164655.07841269847</v>
      </c>
      <c r="I308" s="7">
        <f>SUM(A!F305:F311)/7</f>
        <v>50750.142857142855</v>
      </c>
      <c r="J308" s="1">
        <v>2773</v>
      </c>
      <c r="K308" s="1">
        <v>255</v>
      </c>
      <c r="L308" s="1"/>
      <c r="M308" s="4">
        <f>A!D308-A!D309</f>
        <v>315</v>
      </c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2:36" ht="15.6">
      <c r="B309" s="2">
        <f t="shared" si="54"/>
        <v>43936</v>
      </c>
      <c r="C309" s="1">
        <v>127584</v>
      </c>
      <c r="D309" s="1">
        <v>3254</v>
      </c>
      <c r="E309" s="1">
        <v>72600</v>
      </c>
      <c r="F309" s="1">
        <f>+A!C309-A!D309-A!E309</f>
        <v>51730</v>
      </c>
      <c r="G309" s="1"/>
      <c r="H309" s="4">
        <f>SUM(A!J309:J315)/7*1000000/A!H$3-SUM(A!F309:F315)/7*(1-A!N$3)</f>
        <v>152533.02317460321</v>
      </c>
      <c r="I309" s="7">
        <f>SUM(A!F306:F312)/7</f>
        <v>52164.857142857145</v>
      </c>
      <c r="J309" s="1">
        <v>2679</v>
      </c>
      <c r="K309" s="1">
        <v>228</v>
      </c>
      <c r="L309" s="1"/>
      <c r="M309" s="4">
        <f>A!D309-A!D310</f>
        <v>285</v>
      </c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2:36" ht="15.6">
      <c r="B310" s="2">
        <f t="shared" si="54"/>
        <v>43935</v>
      </c>
      <c r="C310" s="1">
        <v>125098</v>
      </c>
      <c r="D310" s="1">
        <v>2969</v>
      </c>
      <c r="E310" s="1">
        <v>68100</v>
      </c>
      <c r="F310" s="1">
        <f>+A!C310-A!D310-A!E310</f>
        <v>54029</v>
      </c>
      <c r="G310" s="1"/>
      <c r="H310" s="4">
        <f>SUM(A!J310:J316)/7*1000000/A!H$3-SUM(A!F310:F316)/7*(1-A!N$3)</f>
        <v>141589.65269841265</v>
      </c>
      <c r="I310" s="7">
        <f>SUM(A!F307:F313)/7</f>
        <v>53562.714285714283</v>
      </c>
      <c r="J310" s="1">
        <v>2488</v>
      </c>
      <c r="K310" s="1">
        <v>66</v>
      </c>
      <c r="L310" s="1"/>
      <c r="M310" s="4">
        <f>A!D310-A!D311</f>
        <v>170</v>
      </c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2:36" ht="15.6">
      <c r="B311" s="2">
        <f t="shared" si="54"/>
        <v>43934</v>
      </c>
      <c r="C311" s="1">
        <v>123016</v>
      </c>
      <c r="D311" s="1">
        <v>2799</v>
      </c>
      <c r="E311" s="1">
        <v>64300</v>
      </c>
      <c r="F311" s="1">
        <f>+A!C311-A!D311-A!E311</f>
        <v>55917</v>
      </c>
      <c r="G311" s="1"/>
      <c r="H311" s="4"/>
      <c r="I311" s="7">
        <f>SUM(A!F308:F314)/7</f>
        <v>54854.714285714283</v>
      </c>
      <c r="J311" s="1">
        <v>2447</v>
      </c>
      <c r="K311" s="1">
        <v>88</v>
      </c>
      <c r="L311" s="1"/>
      <c r="M311" s="4">
        <f>A!D311-A!D312</f>
        <v>126</v>
      </c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2:36" ht="15.6">
      <c r="B312" s="2">
        <f t="shared" si="54"/>
        <v>43933</v>
      </c>
      <c r="C312" s="1">
        <v>120479</v>
      </c>
      <c r="D312" s="1">
        <v>2673</v>
      </c>
      <c r="E312" s="1">
        <v>60300</v>
      </c>
      <c r="F312" s="1">
        <f>+A!C312-A!D312-A!E312</f>
        <v>57506</v>
      </c>
      <c r="G312" s="1"/>
      <c r="H312" s="4"/>
      <c r="I312" s="7">
        <f>SUM(A!F309:F315)/7</f>
        <v>55756.714285714283</v>
      </c>
      <c r="J312" s="1">
        <v>2405</v>
      </c>
      <c r="K312" s="1">
        <v>66</v>
      </c>
      <c r="L312" s="1"/>
      <c r="M312" s="4">
        <f>A!D312-A!D313</f>
        <v>129</v>
      </c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2:36" ht="15.6">
      <c r="B313" s="2">
        <f t="shared" si="54"/>
        <v>43932</v>
      </c>
      <c r="C313" s="1">
        <v>117658</v>
      </c>
      <c r="D313" s="1">
        <v>2544</v>
      </c>
      <c r="E313" s="1">
        <v>57400</v>
      </c>
      <c r="F313" s="1">
        <f>+A!C313-A!D313-A!E313</f>
        <v>57714</v>
      </c>
      <c r="G313" s="1"/>
      <c r="H313" s="4"/>
      <c r="I313" s="7">
        <f>SUM(A!F310:F316)/7</f>
        <v>56233.428571428572</v>
      </c>
      <c r="J313" s="1">
        <v>2204</v>
      </c>
      <c r="K313" s="1">
        <v>65</v>
      </c>
      <c r="L313" s="1"/>
      <c r="M313" s="4">
        <f>A!D313-A!D314</f>
        <v>138</v>
      </c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2:36" ht="15.6">
      <c r="B314" s="2">
        <f t="shared" si="54"/>
        <v>43931</v>
      </c>
      <c r="C314" s="1">
        <v>113525</v>
      </c>
      <c r="D314" s="1">
        <f>2373+33</f>
        <v>2406</v>
      </c>
      <c r="E314" s="1">
        <v>53913</v>
      </c>
      <c r="F314" s="1">
        <f>+A!C314-A!D314-A!E314</f>
        <v>57206</v>
      </c>
      <c r="G314" s="1"/>
      <c r="H314" s="4"/>
      <c r="I314" s="7">
        <f>SUM(A!F311:F317)/7</f>
        <v>57703.285714285717</v>
      </c>
      <c r="J314" s="1">
        <v>2204</v>
      </c>
      <c r="K314" s="1">
        <v>154</v>
      </c>
      <c r="L314" s="1"/>
      <c r="M314" s="4">
        <f>A!D314-A!D315</f>
        <v>299</v>
      </c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2:36" ht="15.6">
      <c r="B315" s="2">
        <f t="shared" si="54"/>
        <v>43930</v>
      </c>
      <c r="C315" s="1">
        <v>108202</v>
      </c>
      <c r="D315" s="1">
        <v>2107</v>
      </c>
      <c r="E315" s="1">
        <v>49900</v>
      </c>
      <c r="F315" s="1">
        <f>+A!C315-A!D315-A!E315</f>
        <v>56195</v>
      </c>
      <c r="G315" s="1"/>
      <c r="H315" s="4"/>
      <c r="I315" s="7">
        <f>SUM(A!F312:F318)/7</f>
        <v>58766.142857142855</v>
      </c>
      <c r="J315" s="1">
        <v>1888</v>
      </c>
      <c r="K315" s="1">
        <v>93</v>
      </c>
      <c r="L315" s="1"/>
      <c r="M315" s="4">
        <f>A!D315-A!D316</f>
        <v>246</v>
      </c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2:36" ht="15.6">
      <c r="B316" s="2">
        <f t="shared" si="54"/>
        <v>43929</v>
      </c>
      <c r="C316" s="1">
        <v>103228</v>
      </c>
      <c r="D316" s="1">
        <v>1861</v>
      </c>
      <c r="E316" s="1">
        <v>46300</v>
      </c>
      <c r="F316" s="1">
        <f>+A!C316-A!D316-A!E316</f>
        <v>55067</v>
      </c>
      <c r="G316" s="1"/>
      <c r="H316" s="4"/>
      <c r="I316" s="7">
        <f>SUM(A!F313:F319)/7</f>
        <v>59367.857142857145</v>
      </c>
      <c r="J316" s="1">
        <v>1854</v>
      </c>
      <c r="K316" s="1"/>
      <c r="L316" s="1"/>
      <c r="M316" s="4">
        <f>A!D316-A!D317</f>
        <v>254</v>
      </c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2:36" ht="15.6">
      <c r="B317" s="2">
        <f t="shared" si="54"/>
        <v>43928</v>
      </c>
      <c r="C317" s="1">
        <v>99225</v>
      </c>
      <c r="D317" s="1">
        <v>1607</v>
      </c>
      <c r="E317" s="1">
        <v>33300</v>
      </c>
      <c r="F317" s="1">
        <f>+A!C317-A!D317-A!E317</f>
        <v>64318</v>
      </c>
      <c r="G317" s="1"/>
      <c r="H317" s="1"/>
      <c r="I317" s="1"/>
      <c r="J317" s="1"/>
      <c r="K317" s="1"/>
      <c r="L317" s="1"/>
      <c r="M317" s="4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2:36">
      <c r="B318" s="2">
        <f t="shared" si="54"/>
        <v>43927</v>
      </c>
      <c r="C318" s="1">
        <v>95391</v>
      </c>
      <c r="D318" s="1">
        <v>1434</v>
      </c>
      <c r="E318" s="1">
        <v>30600</v>
      </c>
      <c r="F318" s="1">
        <f>+A!C318-A!D318-A!E318</f>
        <v>63357</v>
      </c>
      <c r="G318" s="1"/>
      <c r="H318" s="1"/>
      <c r="I318" s="1"/>
      <c r="J318" s="1"/>
      <c r="K318" s="1">
        <f>SUM(K6:K315)</f>
        <v>19781</v>
      </c>
      <c r="L318" s="1"/>
      <c r="M318" s="1">
        <f>SUM(M6:M315)</f>
        <v>62330</v>
      </c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2:36" ht="15.6">
      <c r="B319" s="2">
        <f t="shared" si="54"/>
        <v>43926</v>
      </c>
      <c r="C319" s="1">
        <v>91714</v>
      </c>
      <c r="D319" s="1">
        <f>1342-46</f>
        <v>1296</v>
      </c>
      <c r="E319" s="1">
        <v>28700</v>
      </c>
      <c r="F319" s="1">
        <f>+A!C319-A!D319-A!E319</f>
        <v>61718</v>
      </c>
      <c r="G319" s="1"/>
      <c r="H319" s="1"/>
      <c r="I319" s="1"/>
      <c r="J319" s="1"/>
      <c r="K319" s="1"/>
      <c r="L319" s="1"/>
      <c r="M319" s="4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2:36" ht="15.6">
      <c r="B320" s="2">
        <f t="shared" si="54"/>
        <v>43925</v>
      </c>
      <c r="C320" s="1">
        <v>85778</v>
      </c>
      <c r="D320" s="1">
        <v>1158</v>
      </c>
      <c r="E320" s="1">
        <v>26400</v>
      </c>
      <c r="F320" s="1">
        <f>+A!C320-A!D320-A!E320</f>
        <v>58220</v>
      </c>
      <c r="G320" s="1"/>
      <c r="H320" s="1"/>
      <c r="I320" s="1"/>
      <c r="J320" s="1"/>
      <c r="K320" s="1"/>
      <c r="L320" s="1"/>
      <c r="M320" s="4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2:36" ht="15.6">
      <c r="B321" s="2">
        <f t="shared" si="54"/>
        <v>43924</v>
      </c>
      <c r="C321" s="1">
        <v>79696</v>
      </c>
      <c r="D321" s="1">
        <v>1017</v>
      </c>
      <c r="E321" s="1">
        <v>23800</v>
      </c>
      <c r="F321" s="1">
        <f>+A!C321-A!D321-A!E321</f>
        <v>54879</v>
      </c>
      <c r="G321" s="1"/>
      <c r="H321" s="1"/>
      <c r="I321" s="1"/>
      <c r="J321" s="1"/>
      <c r="K321" s="1"/>
      <c r="L321" s="1"/>
      <c r="M321" s="4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2:36" ht="15.6">
      <c r="B322" s="2">
        <v>43923</v>
      </c>
      <c r="C322" s="1">
        <v>73522</v>
      </c>
      <c r="D322" s="1">
        <v>872</v>
      </c>
      <c r="E322" s="1">
        <v>21400</v>
      </c>
      <c r="F322" s="1">
        <f>+A!C322-A!D322-A!E322</f>
        <v>51250</v>
      </c>
      <c r="G322" s="1"/>
      <c r="H322" s="1"/>
      <c r="I322" s="1"/>
      <c r="J322" s="1"/>
      <c r="K322" s="1"/>
      <c r="L322" s="1"/>
      <c r="M322" s="4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2:36" ht="15.6">
      <c r="B323" s="2">
        <f t="shared" ref="B323:B351" si="56">+B322-1</f>
        <v>43922</v>
      </c>
      <c r="C323" s="1">
        <v>67366</v>
      </c>
      <c r="D323" s="1">
        <v>732</v>
      </c>
      <c r="E323" s="1">
        <v>18700</v>
      </c>
      <c r="F323" s="1">
        <f>+A!C323-A!D323-A!E323</f>
        <v>47934</v>
      </c>
      <c r="G323" s="1"/>
      <c r="H323" s="1"/>
      <c r="I323" s="1"/>
      <c r="J323" s="1"/>
      <c r="K323" s="1"/>
      <c r="L323" s="1"/>
      <c r="M323" s="4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2:36" ht="15.6">
      <c r="B324" s="2">
        <f t="shared" si="56"/>
        <v>43921</v>
      </c>
      <c r="C324" s="1">
        <v>61913</v>
      </c>
      <c r="D324" s="1">
        <v>583</v>
      </c>
      <c r="E324" s="1">
        <v>16100</v>
      </c>
      <c r="F324" s="1">
        <f>+A!C324-A!D324-A!E324</f>
        <v>45230</v>
      </c>
      <c r="G324" s="1"/>
      <c r="H324" s="1"/>
      <c r="I324" s="1"/>
      <c r="J324" s="1"/>
      <c r="K324" s="1"/>
      <c r="L324" s="1"/>
      <c r="M324" s="4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2:36" ht="15.6">
      <c r="B325" s="2">
        <f t="shared" si="56"/>
        <v>43920</v>
      </c>
      <c r="C325" s="1">
        <v>57298</v>
      </c>
      <c r="D325" s="1">
        <v>455</v>
      </c>
      <c r="E325" s="1">
        <v>13500</v>
      </c>
      <c r="F325" s="1">
        <f>+A!C325-A!D325-A!E325</f>
        <v>43343</v>
      </c>
      <c r="G325" s="1"/>
      <c r="H325" s="1"/>
      <c r="I325" s="1"/>
      <c r="J325" s="1"/>
      <c r="K325" s="1"/>
      <c r="L325" s="1"/>
      <c r="M325" s="4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2:36" ht="15.6">
      <c r="B326" s="2">
        <f t="shared" si="56"/>
        <v>43919</v>
      </c>
      <c r="C326" s="1">
        <v>52547</v>
      </c>
      <c r="D326" s="1">
        <v>389</v>
      </c>
      <c r="E326" s="1">
        <v>11500</v>
      </c>
      <c r="F326" s="1">
        <f>+A!C326-A!D326-A!E326</f>
        <v>40658</v>
      </c>
      <c r="G326" s="1"/>
      <c r="H326" s="1"/>
      <c r="I326" s="1"/>
      <c r="J326" s="1"/>
      <c r="K326" s="1"/>
      <c r="L326" s="1"/>
      <c r="M326" s="4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2:36" ht="15.6">
      <c r="B327" s="2">
        <f t="shared" si="56"/>
        <v>43918</v>
      </c>
      <c r="C327" s="1">
        <v>48582</v>
      </c>
      <c r="D327" s="1">
        <v>325</v>
      </c>
      <c r="E327" s="1">
        <v>9600</v>
      </c>
      <c r="F327" s="1">
        <f>+A!C327-A!D327-A!E327</f>
        <v>38657</v>
      </c>
      <c r="G327" s="1"/>
      <c r="H327" s="1"/>
      <c r="I327" s="1"/>
      <c r="J327" s="1"/>
      <c r="K327" s="1"/>
      <c r="L327" s="1"/>
      <c r="M327" s="4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2:36" ht="15.6">
      <c r="B328" s="2">
        <f t="shared" si="56"/>
        <v>43917</v>
      </c>
      <c r="C328" s="1">
        <v>42288</v>
      </c>
      <c r="D328" s="1">
        <v>253</v>
      </c>
      <c r="E328" s="1">
        <v>7600</v>
      </c>
      <c r="F328" s="1">
        <f>+A!C328-A!D328-A!E328</f>
        <v>34435</v>
      </c>
      <c r="G328" s="1"/>
      <c r="H328" s="1"/>
      <c r="I328" s="1"/>
      <c r="J328" s="1"/>
      <c r="K328" s="1"/>
      <c r="L328" s="1"/>
      <c r="M328" s="4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2:36" ht="15.6">
      <c r="B329" s="2">
        <f t="shared" si="56"/>
        <v>43916</v>
      </c>
      <c r="C329" s="1">
        <v>36508</v>
      </c>
      <c r="D329" s="1">
        <v>198</v>
      </c>
      <c r="E329" s="1">
        <v>5900</v>
      </c>
      <c r="F329" s="1">
        <f>+A!C329-A!D329-A!E329</f>
        <v>30410</v>
      </c>
      <c r="G329" s="1"/>
      <c r="H329" s="1"/>
      <c r="I329" s="1"/>
      <c r="J329" s="1"/>
      <c r="K329" s="1"/>
      <c r="L329" s="1"/>
      <c r="M329" s="4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2:36" ht="15.6">
      <c r="B330" s="2">
        <f t="shared" si="56"/>
        <v>43915</v>
      </c>
      <c r="C330" s="1">
        <v>31554</v>
      </c>
      <c r="D330" s="1">
        <v>149</v>
      </c>
      <c r="E330" s="1">
        <v>5600</v>
      </c>
      <c r="F330" s="1">
        <f>+A!C330-A!D330-A!E330</f>
        <v>25805</v>
      </c>
      <c r="G330" s="1"/>
      <c r="H330" s="1"/>
      <c r="I330" s="1"/>
      <c r="J330" s="1"/>
      <c r="K330" s="1"/>
      <c r="L330" s="1"/>
      <c r="M330" s="4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2:36" ht="15.6">
      <c r="B331" s="2">
        <f t="shared" si="56"/>
        <v>43914</v>
      </c>
      <c r="C331" s="1">
        <v>27436</v>
      </c>
      <c r="D331" s="1">
        <v>114</v>
      </c>
      <c r="E331" s="1">
        <f>+E330-1400</f>
        <v>4200</v>
      </c>
      <c r="F331" s="1">
        <f>+A!C331-A!D331-A!E331</f>
        <v>23122</v>
      </c>
      <c r="G331" s="1"/>
      <c r="H331" s="1"/>
      <c r="I331" s="1"/>
      <c r="J331" s="1"/>
      <c r="K331" s="1"/>
      <c r="L331" s="1"/>
      <c r="M331" s="4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2:36" ht="15.6">
      <c r="B332" s="2">
        <f t="shared" si="56"/>
        <v>43913</v>
      </c>
      <c r="C332" s="1">
        <v>22672</v>
      </c>
      <c r="D332" s="1">
        <v>86</v>
      </c>
      <c r="E332" s="1">
        <f>+E331-1400</f>
        <v>2800</v>
      </c>
      <c r="F332" s="1">
        <f>+A!C332-A!D332-A!E332</f>
        <v>19786</v>
      </c>
      <c r="G332" s="1"/>
      <c r="H332" s="1"/>
      <c r="I332" s="1"/>
      <c r="J332" s="1"/>
      <c r="K332" s="1"/>
      <c r="L332" s="1"/>
      <c r="M332" s="4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2:36" ht="15.6">
      <c r="B333" s="2">
        <f t="shared" si="56"/>
        <v>43912</v>
      </c>
      <c r="C333" s="1">
        <v>18610</v>
      </c>
      <c r="D333" s="1">
        <v>55</v>
      </c>
      <c r="E333" s="1">
        <f>+E332-1400</f>
        <v>1400</v>
      </c>
      <c r="F333" s="1">
        <f>+A!C333-A!D333-A!E333</f>
        <v>17155</v>
      </c>
      <c r="G333" s="1"/>
      <c r="H333" s="1"/>
      <c r="I333" s="1"/>
      <c r="J333" s="1"/>
      <c r="K333" s="1"/>
      <c r="L333" s="1"/>
      <c r="M333" s="4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2:36" ht="15.6">
      <c r="B334" s="2">
        <f t="shared" si="56"/>
        <v>43911</v>
      </c>
      <c r="C334" s="1">
        <v>16662</v>
      </c>
      <c r="D334" s="1">
        <v>47</v>
      </c>
      <c r="E334" s="1">
        <f>+E333-1400</f>
        <v>0</v>
      </c>
      <c r="F334" s="1">
        <f>+A!C334-A!D334-A!E334</f>
        <v>16615</v>
      </c>
      <c r="G334" s="1"/>
      <c r="H334" s="1"/>
      <c r="I334" s="1"/>
      <c r="J334" s="1"/>
      <c r="K334" s="1"/>
      <c r="L334" s="1"/>
      <c r="M334" s="4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2:36" ht="15.6">
      <c r="B335" s="2">
        <f t="shared" si="56"/>
        <v>43910</v>
      </c>
      <c r="C335" s="1">
        <v>13957</v>
      </c>
      <c r="D335" s="1">
        <v>31</v>
      </c>
      <c r="E335" s="1"/>
      <c r="F335" s="1">
        <f>+A!C335-A!D335-A!E335</f>
        <v>13926</v>
      </c>
      <c r="G335" s="1"/>
      <c r="H335" s="1"/>
      <c r="I335" s="1"/>
      <c r="J335" s="1"/>
      <c r="K335" s="1"/>
      <c r="L335" s="1"/>
      <c r="M335" s="4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2:36" ht="15.6">
      <c r="B336" s="2">
        <f t="shared" si="56"/>
        <v>43909</v>
      </c>
      <c r="C336" s="1">
        <v>10999</v>
      </c>
      <c r="D336" s="1">
        <v>20</v>
      </c>
      <c r="E336" s="1"/>
      <c r="F336" s="1">
        <f>+A!C336-A!D336-A!E336</f>
        <v>10979</v>
      </c>
      <c r="G336" s="1"/>
      <c r="H336" s="1"/>
      <c r="I336" s="1"/>
      <c r="J336" s="1"/>
      <c r="K336" s="1"/>
      <c r="L336" s="1"/>
      <c r="M336" s="4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2:36" ht="15.6">
      <c r="B337" s="2">
        <f t="shared" si="56"/>
        <v>43908</v>
      </c>
      <c r="C337" s="1">
        <v>8198</v>
      </c>
      <c r="D337" s="1">
        <v>12</v>
      </c>
      <c r="E337" s="1"/>
      <c r="F337" s="1">
        <f>+A!C337-A!D337-A!E337</f>
        <v>8186</v>
      </c>
      <c r="G337" s="1"/>
      <c r="H337" s="1"/>
      <c r="I337" s="1"/>
      <c r="J337" s="1"/>
      <c r="K337" s="1"/>
      <c r="L337" s="1"/>
      <c r="M337" s="4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2:36" ht="15.6">
      <c r="B338" s="2">
        <f t="shared" si="56"/>
        <v>43907</v>
      </c>
      <c r="C338" s="1">
        <v>7156</v>
      </c>
      <c r="D338" s="1">
        <v>12</v>
      </c>
      <c r="E338" s="1"/>
      <c r="F338" s="1">
        <f>+A!C338-A!D338-A!E338</f>
        <v>7144</v>
      </c>
      <c r="G338" s="1"/>
      <c r="H338" s="1"/>
      <c r="I338" s="1"/>
      <c r="J338" s="1"/>
      <c r="K338" s="1"/>
      <c r="L338" s="1"/>
      <c r="M338" s="4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2:36">
      <c r="B339" s="2">
        <f t="shared" si="56"/>
        <v>43906</v>
      </c>
      <c r="C339" s="1">
        <v>6012</v>
      </c>
      <c r="D339" s="1">
        <f>13-1</f>
        <v>12</v>
      </c>
      <c r="E339" s="1"/>
      <c r="F339" s="1">
        <f>+A!C339-A!D339-A!E339</f>
        <v>6000</v>
      </c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2:36">
      <c r="B340" s="2">
        <f t="shared" si="56"/>
        <v>43905</v>
      </c>
      <c r="C340" s="1">
        <v>4838</v>
      </c>
      <c r="D340" s="1">
        <v>12</v>
      </c>
      <c r="E340" s="1"/>
      <c r="F340" s="1">
        <f>+A!C340-A!D340-A!E340</f>
        <v>4826</v>
      </c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2:36">
      <c r="B341" s="2">
        <f t="shared" si="56"/>
        <v>43904</v>
      </c>
      <c r="C341" s="1">
        <v>3795</v>
      </c>
      <c r="D341" s="1">
        <v>8</v>
      </c>
      <c r="E341" s="1"/>
      <c r="F341" s="1">
        <f>+A!C341-A!D341-A!E341</f>
        <v>3787</v>
      </c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2:36">
      <c r="B342" s="2">
        <f t="shared" si="56"/>
        <v>43903</v>
      </c>
      <c r="C342" s="1">
        <v>3062</v>
      </c>
      <c r="D342" s="1">
        <v>5</v>
      </c>
      <c r="E342" s="1"/>
      <c r="F342" s="1">
        <f>+A!C342-A!D342-A!E342</f>
        <v>3057</v>
      </c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2:36">
      <c r="B343" s="2">
        <f t="shared" si="56"/>
        <v>43902</v>
      </c>
      <c r="C343" s="1">
        <v>2369</v>
      </c>
      <c r="D343" s="1">
        <v>5</v>
      </c>
      <c r="E343" s="1"/>
      <c r="F343" s="1">
        <f>+A!C343-A!D343-A!E343</f>
        <v>2364</v>
      </c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2:36">
      <c r="B344" s="2">
        <f t="shared" si="56"/>
        <v>43901</v>
      </c>
      <c r="C344" s="1">
        <v>1567</v>
      </c>
      <c r="D344" s="1">
        <v>3</v>
      </c>
      <c r="E344" s="1"/>
      <c r="F344" s="1">
        <f>+A!C344-A!D344-A!E344</f>
        <v>1564</v>
      </c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2:36">
      <c r="B345" s="2">
        <f t="shared" si="56"/>
        <v>43900</v>
      </c>
      <c r="C345" s="1">
        <v>1296</v>
      </c>
      <c r="D345" s="1">
        <v>2</v>
      </c>
      <c r="E345" s="1"/>
      <c r="F345" s="1">
        <f>+A!C345-A!D345-A!E345</f>
        <v>1294</v>
      </c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2:36">
      <c r="B346" s="2">
        <f t="shared" si="56"/>
        <v>43899</v>
      </c>
      <c r="C346" s="1">
        <v>1139</v>
      </c>
      <c r="D346" s="1">
        <v>2</v>
      </c>
      <c r="E346" s="1"/>
      <c r="F346" s="1">
        <f>+A!C346-A!D346-A!E346</f>
        <v>1137</v>
      </c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2:36">
      <c r="B347" s="2">
        <f t="shared" si="56"/>
        <v>43898</v>
      </c>
      <c r="C347" s="1">
        <v>902</v>
      </c>
      <c r="D347" s="1">
        <v>0</v>
      </c>
      <c r="E347" s="1"/>
      <c r="F347" s="1">
        <f>+A!C347-A!D347-A!E347</f>
        <v>902</v>
      </c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2:36">
      <c r="B348" s="2">
        <f t="shared" si="56"/>
        <v>43897</v>
      </c>
      <c r="C348" s="1">
        <v>795</v>
      </c>
      <c r="D348" s="1">
        <v>0</v>
      </c>
      <c r="E348" s="1"/>
      <c r="F348" s="1">
        <f>+A!C348-A!D348-A!E348</f>
        <v>795</v>
      </c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2:36">
      <c r="B349" s="2">
        <f t="shared" si="56"/>
        <v>43896</v>
      </c>
      <c r="C349" s="1">
        <v>639</v>
      </c>
      <c r="D349" s="1">
        <v>0</v>
      </c>
      <c r="E349" s="1"/>
      <c r="F349" s="1">
        <f>+A!C349-A!D349-A!E349</f>
        <v>639</v>
      </c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2:36">
      <c r="B350" s="2">
        <f t="shared" si="56"/>
        <v>43895</v>
      </c>
      <c r="C350" s="1">
        <v>400</v>
      </c>
      <c r="D350" s="1">
        <v>0</v>
      </c>
      <c r="F350" s="1">
        <f>+A!C350-A!D350-A!E350</f>
        <v>400</v>
      </c>
      <c r="G350" s="1"/>
    </row>
    <row r="351" spans="2:36">
      <c r="B351" s="2">
        <f t="shared" si="56"/>
        <v>43894</v>
      </c>
      <c r="C351" s="1">
        <v>262</v>
      </c>
      <c r="D351" s="1">
        <v>0</v>
      </c>
      <c r="F351" s="1">
        <f>+A!C351-A!D351-A!E351</f>
        <v>262</v>
      </c>
      <c r="G351" s="1"/>
    </row>
  </sheetData>
  <sortState ref="Z35:AB51">
    <sortCondition descending="1" ref="Z35:Z51"/>
  </sortState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11"/>
  <sheetViews>
    <sheetView tabSelected="1" topLeftCell="M22" workbookViewId="0">
      <selection activeCell="O50" sqref="O50"/>
    </sheetView>
  </sheetViews>
  <sheetFormatPr baseColWidth="10" defaultRowHeight="13.8"/>
  <cols>
    <col min="4" max="4" width="11.296875" bestFit="1" customWidth="1"/>
    <col min="5" max="5" width="11.3984375" bestFit="1" customWidth="1"/>
  </cols>
  <sheetData>
    <row r="1" spans="2:27">
      <c r="D1" t="str">
        <f>A!T3</f>
        <v>pos. getestet</v>
      </c>
    </row>
    <row r="2" spans="2:27">
      <c r="D2" t="str">
        <f>A!T4</f>
        <v>pro Woche</v>
      </c>
      <c r="E2" t="str">
        <f>A!V4</f>
        <v>Tests</v>
      </c>
      <c r="M2" t="str">
        <f>A!V4</f>
        <v>Tests</v>
      </c>
      <c r="N2" t="str">
        <f>A!W4</f>
        <v>DIVI</v>
      </c>
      <c r="V2" t="str">
        <f>A!V4</f>
        <v>Tests</v>
      </c>
      <c r="W2" t="str">
        <f>A!X4</f>
        <v>RKI</v>
      </c>
    </row>
    <row r="3" spans="2:27">
      <c r="B3">
        <f t="shared" ref="B3:B49" si="0">B2+1</f>
        <v>1</v>
      </c>
      <c r="C3" s="2">
        <f>A!S5</f>
        <v>44234</v>
      </c>
      <c r="D3" s="1">
        <f>A!T5</f>
        <v>67647</v>
      </c>
      <c r="E3" s="1">
        <f>A!V5</f>
        <v>1026196</v>
      </c>
      <c r="F3" s="13">
        <f t="shared" ref="F3:F7" si="1">RANK(D3,D$3:D$50)</f>
        <v>15</v>
      </c>
      <c r="G3" s="13">
        <f t="shared" ref="G3:G7" si="2">RANK(E3,E$3:E$50)</f>
        <v>23</v>
      </c>
      <c r="H3" s="13">
        <f t="shared" ref="H3:H7" si="3">F3-G3</f>
        <v>-8</v>
      </c>
      <c r="I3" s="13">
        <f t="shared" ref="I3:I7" si="4">H3^2</f>
        <v>64</v>
      </c>
      <c r="K3">
        <f t="shared" ref="K3:K42" si="5">K2+1</f>
        <v>1</v>
      </c>
      <c r="L3" s="2">
        <f>A!S7</f>
        <v>44220</v>
      </c>
      <c r="M3" s="1">
        <f>A!V7</f>
        <v>1106528</v>
      </c>
      <c r="N3" s="1">
        <f>A!W7</f>
        <v>159332.26779354643</v>
      </c>
      <c r="O3" s="13">
        <f t="shared" ref="O3:O7" si="6">RANK(M3,M$3:M$42)</f>
        <v>19</v>
      </c>
      <c r="P3" s="13">
        <f t="shared" ref="P3:P7" si="7">RANK(N3,N$3:N$42)</f>
        <v>5</v>
      </c>
      <c r="Q3" s="13">
        <f t="shared" ref="Q3:Q7" si="8">O3-P3</f>
        <v>14</v>
      </c>
      <c r="R3" s="14">
        <f t="shared" ref="R3:R7" si="9">Q3^2</f>
        <v>196</v>
      </c>
      <c r="T3">
        <f t="shared" ref="T3:T42" si="10">T2+1</f>
        <v>1</v>
      </c>
      <c r="U3" s="2">
        <f>A!S7</f>
        <v>44220</v>
      </c>
      <c r="V3" s="1">
        <f>A!V7</f>
        <v>1106528</v>
      </c>
      <c r="W3" s="1">
        <f>A!X7</f>
        <v>5183615.4279225776</v>
      </c>
      <c r="X3" s="13">
        <f t="shared" ref="X3:X7" si="11">RANK(V3,V$3:V$42)</f>
        <v>19</v>
      </c>
      <c r="Y3" s="13">
        <f t="shared" ref="Y3:Y7" si="12">RANK(W3,W$3:W$42)</f>
        <v>3</v>
      </c>
      <c r="Z3" s="13">
        <f t="shared" ref="Z3:Z7" si="13">X3-Y3</f>
        <v>16</v>
      </c>
      <c r="AA3" s="14">
        <f t="shared" ref="AA3:AA7" si="14">Z3^2</f>
        <v>256</v>
      </c>
    </row>
    <row r="4" spans="2:27">
      <c r="B4">
        <f t="shared" si="0"/>
        <v>2</v>
      </c>
      <c r="C4" s="2">
        <f>A!S6</f>
        <v>44227</v>
      </c>
      <c r="D4" s="1">
        <f>A!T6</f>
        <v>81427</v>
      </c>
      <c r="E4" s="1">
        <f>A!V6</f>
        <v>1137034</v>
      </c>
      <c r="F4" s="13">
        <f t="shared" si="1"/>
        <v>14</v>
      </c>
      <c r="G4" s="13">
        <f t="shared" si="2"/>
        <v>17</v>
      </c>
      <c r="H4" s="13">
        <f t="shared" si="3"/>
        <v>-3</v>
      </c>
      <c r="I4" s="13">
        <f t="shared" si="4"/>
        <v>9</v>
      </c>
      <c r="K4">
        <f t="shared" si="5"/>
        <v>2</v>
      </c>
      <c r="L4" s="2">
        <f>A!S8</f>
        <v>44213</v>
      </c>
      <c r="M4" s="1">
        <f>A!V8</f>
        <v>1184400</v>
      </c>
      <c r="N4" s="1">
        <f>A!W8</f>
        <v>168408.81021528578</v>
      </c>
      <c r="O4" s="13">
        <f t="shared" si="6"/>
        <v>13</v>
      </c>
      <c r="P4" s="13">
        <f t="shared" si="7"/>
        <v>3</v>
      </c>
      <c r="Q4" s="13">
        <f t="shared" si="8"/>
        <v>10</v>
      </c>
      <c r="R4" s="14">
        <f t="shared" si="9"/>
        <v>100</v>
      </c>
      <c r="T4">
        <f t="shared" si="10"/>
        <v>2</v>
      </c>
      <c r="U4" s="2">
        <f>A!S8</f>
        <v>44213</v>
      </c>
      <c r="V4" s="1">
        <f>A!V8</f>
        <v>1184400</v>
      </c>
      <c r="W4" s="1">
        <f>A!X8</f>
        <v>4972948.118273519</v>
      </c>
      <c r="X4" s="13">
        <f t="shared" si="11"/>
        <v>13</v>
      </c>
      <c r="Y4" s="13">
        <f t="shared" si="12"/>
        <v>5</v>
      </c>
      <c r="Z4" s="13">
        <f t="shared" si="13"/>
        <v>8</v>
      </c>
      <c r="AA4" s="14">
        <f t="shared" si="14"/>
        <v>64</v>
      </c>
    </row>
    <row r="5" spans="2:27">
      <c r="B5">
        <f t="shared" si="0"/>
        <v>3</v>
      </c>
      <c r="C5" s="2">
        <f>A!S7</f>
        <v>44220</v>
      </c>
      <c r="D5" s="1">
        <f>A!T7</f>
        <v>101418</v>
      </c>
      <c r="E5" s="1">
        <f>A!V7</f>
        <v>1106528</v>
      </c>
      <c r="F5" s="13">
        <f t="shared" si="1"/>
        <v>13</v>
      </c>
      <c r="G5" s="13">
        <f t="shared" si="2"/>
        <v>20</v>
      </c>
      <c r="H5" s="13">
        <f t="shared" si="3"/>
        <v>-7</v>
      </c>
      <c r="I5" s="13">
        <f t="shared" si="4"/>
        <v>49</v>
      </c>
      <c r="K5">
        <f t="shared" si="5"/>
        <v>3</v>
      </c>
      <c r="L5" s="2">
        <f>A!S9</f>
        <v>44206</v>
      </c>
      <c r="M5" s="1">
        <f>A!V9</f>
        <v>1227527</v>
      </c>
      <c r="N5" s="1">
        <f>A!W9</f>
        <v>189441.47458483904</v>
      </c>
      <c r="O5" s="13">
        <f t="shared" si="6"/>
        <v>11</v>
      </c>
      <c r="P5" s="13">
        <f t="shared" si="7"/>
        <v>2</v>
      </c>
      <c r="Q5" s="13">
        <f t="shared" si="8"/>
        <v>9</v>
      </c>
      <c r="R5" s="14">
        <f t="shared" si="9"/>
        <v>81</v>
      </c>
      <c r="T5">
        <f t="shared" si="10"/>
        <v>3</v>
      </c>
      <c r="U5" s="2">
        <f>A!S9</f>
        <v>44206</v>
      </c>
      <c r="V5" s="1">
        <f>A!V9</f>
        <v>1227527</v>
      </c>
      <c r="W5" s="1">
        <f>A!X9</f>
        <v>5547177.3924776213</v>
      </c>
      <c r="X5" s="13">
        <f t="shared" si="11"/>
        <v>11</v>
      </c>
      <c r="Y5" s="13">
        <f t="shared" si="12"/>
        <v>2</v>
      </c>
      <c r="Z5" s="13">
        <f t="shared" si="13"/>
        <v>9</v>
      </c>
      <c r="AA5" s="14">
        <f t="shared" si="14"/>
        <v>81</v>
      </c>
    </row>
    <row r="6" spans="2:27">
      <c r="B6">
        <f t="shared" si="0"/>
        <v>4</v>
      </c>
      <c r="C6" s="2">
        <f>A!S8</f>
        <v>44213</v>
      </c>
      <c r="D6" s="1">
        <f>A!T8</f>
        <v>127991</v>
      </c>
      <c r="E6" s="1">
        <f>A!V8</f>
        <v>1184400</v>
      </c>
      <c r="F6" s="13">
        <f t="shared" si="1"/>
        <v>7</v>
      </c>
      <c r="G6" s="13">
        <f t="shared" si="2"/>
        <v>13</v>
      </c>
      <c r="H6" s="13">
        <f t="shared" si="3"/>
        <v>-6</v>
      </c>
      <c r="I6" s="13">
        <f t="shared" si="4"/>
        <v>36</v>
      </c>
      <c r="K6">
        <f t="shared" si="5"/>
        <v>4</v>
      </c>
      <c r="L6" s="2">
        <f>A!S10</f>
        <v>44199</v>
      </c>
      <c r="M6" s="1">
        <f>A!V10</f>
        <v>844502</v>
      </c>
      <c r="N6" s="1">
        <f>A!W10</f>
        <v>153220.55918069292</v>
      </c>
      <c r="O6" s="13">
        <f t="shared" si="6"/>
        <v>24</v>
      </c>
      <c r="P6" s="13">
        <f t="shared" si="7"/>
        <v>6</v>
      </c>
      <c r="Q6" s="13">
        <f t="shared" si="8"/>
        <v>18</v>
      </c>
      <c r="R6" s="14">
        <f t="shared" si="9"/>
        <v>324</v>
      </c>
      <c r="T6">
        <f t="shared" si="10"/>
        <v>4</v>
      </c>
      <c r="U6" s="2">
        <f>A!S10</f>
        <v>44199</v>
      </c>
      <c r="V6" s="1">
        <f>A!V10</f>
        <v>844502</v>
      </c>
      <c r="W6" s="1">
        <f>A!X10</f>
        <v>6701411.3997442741</v>
      </c>
      <c r="X6" s="13">
        <f t="shared" si="11"/>
        <v>24</v>
      </c>
      <c r="Y6" s="13">
        <f t="shared" si="12"/>
        <v>1</v>
      </c>
      <c r="Z6" s="13">
        <f t="shared" si="13"/>
        <v>23</v>
      </c>
      <c r="AA6" s="14">
        <f t="shared" si="14"/>
        <v>529</v>
      </c>
    </row>
    <row r="7" spans="2:27">
      <c r="B7">
        <f t="shared" si="0"/>
        <v>5</v>
      </c>
      <c r="C7" s="2">
        <f>A!S9</f>
        <v>44206</v>
      </c>
      <c r="D7" s="1">
        <f>A!T9</f>
        <v>139861</v>
      </c>
      <c r="E7" s="1">
        <f>A!V9</f>
        <v>1227527</v>
      </c>
      <c r="F7" s="13">
        <f t="shared" si="1"/>
        <v>4</v>
      </c>
      <c r="G7" s="13">
        <f t="shared" si="2"/>
        <v>11</v>
      </c>
      <c r="H7" s="13">
        <f t="shared" si="3"/>
        <v>-7</v>
      </c>
      <c r="I7" s="13">
        <f t="shared" si="4"/>
        <v>49</v>
      </c>
      <c r="K7">
        <f t="shared" si="5"/>
        <v>5</v>
      </c>
      <c r="L7" s="2">
        <f>A!S11</f>
        <v>44192</v>
      </c>
      <c r="M7" s="1">
        <f>A!V11</f>
        <v>1091482</v>
      </c>
      <c r="N7" s="1">
        <f>A!W11</f>
        <v>114720.11801303383</v>
      </c>
      <c r="O7" s="13">
        <f t="shared" si="6"/>
        <v>20</v>
      </c>
      <c r="P7" s="13">
        <f t="shared" si="7"/>
        <v>8</v>
      </c>
      <c r="Q7" s="13">
        <f t="shared" si="8"/>
        <v>12</v>
      </c>
      <c r="R7" s="14">
        <f t="shared" si="9"/>
        <v>144</v>
      </c>
      <c r="T7">
        <f t="shared" si="10"/>
        <v>5</v>
      </c>
      <c r="U7" s="2">
        <f>A!S11</f>
        <v>44192</v>
      </c>
      <c r="V7" s="1">
        <f>A!V11</f>
        <v>1091482</v>
      </c>
      <c r="W7" s="1">
        <f>A!X11</f>
        <v>5056715.2986251395</v>
      </c>
      <c r="X7" s="13">
        <f t="shared" si="11"/>
        <v>20</v>
      </c>
      <c r="Y7" s="13">
        <f t="shared" si="12"/>
        <v>4</v>
      </c>
      <c r="Z7" s="13">
        <f t="shared" si="13"/>
        <v>16</v>
      </c>
      <c r="AA7" s="14">
        <f t="shared" si="14"/>
        <v>256</v>
      </c>
    </row>
    <row r="8" spans="2:27">
      <c r="B8">
        <f t="shared" si="0"/>
        <v>6</v>
      </c>
      <c r="C8" s="2">
        <f>A!S10</f>
        <v>44199</v>
      </c>
      <c r="D8" s="1">
        <f>A!T10</f>
        <v>124808</v>
      </c>
      <c r="E8" s="1">
        <f>A!V10</f>
        <v>844502</v>
      </c>
      <c r="F8" s="13">
        <f>RANK(D8,D$3:D$50)</f>
        <v>10</v>
      </c>
      <c r="G8" s="13">
        <f>RANK(E8,E$3:E$50)</f>
        <v>27</v>
      </c>
      <c r="H8" s="13">
        <f t="shared" ref="H8:H49" si="15">F8-G8</f>
        <v>-17</v>
      </c>
      <c r="I8" s="13">
        <f t="shared" ref="I8:I49" si="16">H8^2</f>
        <v>289</v>
      </c>
      <c r="K8">
        <f t="shared" si="5"/>
        <v>6</v>
      </c>
      <c r="L8" s="2">
        <f>A!S12</f>
        <v>44185</v>
      </c>
      <c r="M8" s="1">
        <f>A!V12</f>
        <v>1672033</v>
      </c>
      <c r="N8" s="1">
        <f>A!W12</f>
        <v>108518.35918355706</v>
      </c>
      <c r="O8" s="13">
        <f>RANK(M8,M$3:M$42)</f>
        <v>1</v>
      </c>
      <c r="P8" s="13">
        <f>RANK(N8,N$3:N$42)</f>
        <v>9</v>
      </c>
      <c r="Q8" s="13">
        <f t="shared" ref="Q8:Q42" si="17">O8-P8</f>
        <v>-8</v>
      </c>
      <c r="R8" s="14">
        <f t="shared" ref="R8:R42" si="18">Q8^2</f>
        <v>64</v>
      </c>
      <c r="T8">
        <f t="shared" si="10"/>
        <v>6</v>
      </c>
      <c r="U8" s="2">
        <f>A!S12</f>
        <v>44185</v>
      </c>
      <c r="V8" s="1">
        <f>A!V12</f>
        <v>1672033</v>
      </c>
      <c r="W8" s="1">
        <f>A!X12</f>
        <v>4070213.9986174414</v>
      </c>
      <c r="X8" s="13">
        <f>RANK(V8,V$3:V$42)</f>
        <v>1</v>
      </c>
      <c r="Y8" s="13">
        <f>RANK(W8,W$3:W$42)</f>
        <v>7</v>
      </c>
      <c r="Z8" s="13">
        <f t="shared" ref="Z8:Z42" si="19">X8-Y8</f>
        <v>-6</v>
      </c>
      <c r="AA8" s="14">
        <f t="shared" ref="AA8:AA42" si="20">Z8^2</f>
        <v>36</v>
      </c>
    </row>
    <row r="9" spans="2:27">
      <c r="B9">
        <f t="shared" si="0"/>
        <v>7</v>
      </c>
      <c r="C9" s="2">
        <f>A!S11</f>
        <v>44192</v>
      </c>
      <c r="D9" s="1">
        <f>A!T11</f>
        <v>146849</v>
      </c>
      <c r="E9" s="1">
        <f>A!V11</f>
        <v>1091482</v>
      </c>
      <c r="F9" s="13">
        <f>RANK(D9,D$3:D$50)</f>
        <v>3</v>
      </c>
      <c r="G9" s="13">
        <f>RANK(E9,E$3:E$50)</f>
        <v>21</v>
      </c>
      <c r="H9" s="13">
        <f t="shared" si="15"/>
        <v>-18</v>
      </c>
      <c r="I9" s="13">
        <f t="shared" si="16"/>
        <v>324</v>
      </c>
      <c r="K9">
        <f t="shared" si="5"/>
        <v>7</v>
      </c>
      <c r="L9" s="2">
        <f>A!S13</f>
        <v>44178</v>
      </c>
      <c r="M9" s="1">
        <f>A!V13</f>
        <v>1516038</v>
      </c>
      <c r="N9" s="1">
        <f>A!W13</f>
        <v>90760.653920373326</v>
      </c>
      <c r="O9" s="13">
        <f>RANK(M9,M$3:M$42)</f>
        <v>6</v>
      </c>
      <c r="P9" s="13">
        <f>RANK(N9,N$3:N$42)</f>
        <v>11</v>
      </c>
      <c r="Q9" s="13">
        <f t="shared" si="17"/>
        <v>-5</v>
      </c>
      <c r="R9" s="14">
        <f t="shared" si="18"/>
        <v>25</v>
      </c>
      <c r="T9">
        <f t="shared" si="10"/>
        <v>7</v>
      </c>
      <c r="U9" s="2">
        <f>A!S13</f>
        <v>44178</v>
      </c>
      <c r="V9" s="1">
        <f>A!V13</f>
        <v>1516038</v>
      </c>
      <c r="W9" s="1">
        <f>A!X13</f>
        <v>4549743.0646693334</v>
      </c>
      <c r="X9" s="13">
        <f>RANK(V9,V$3:V$42)</f>
        <v>6</v>
      </c>
      <c r="Y9" s="13">
        <f>RANK(W9,W$3:W$42)</f>
        <v>6</v>
      </c>
      <c r="Z9" s="13">
        <f t="shared" si="19"/>
        <v>0</v>
      </c>
      <c r="AA9" s="14">
        <f t="shared" si="20"/>
        <v>0</v>
      </c>
    </row>
    <row r="10" spans="2:27">
      <c r="B10">
        <f t="shared" si="0"/>
        <v>8</v>
      </c>
      <c r="C10" s="2">
        <f>A!S12</f>
        <v>44185</v>
      </c>
      <c r="D10" s="1">
        <f>A!T12</f>
        <v>173293</v>
      </c>
      <c r="E10" s="1">
        <f>A!V12</f>
        <v>1672033</v>
      </c>
      <c r="F10" s="13">
        <f>RANK(D10,D$3:D$50)</f>
        <v>1</v>
      </c>
      <c r="G10" s="13">
        <f>RANK(E10,E$3:E$50)</f>
        <v>1</v>
      </c>
      <c r="H10" s="13">
        <f t="shared" si="15"/>
        <v>0</v>
      </c>
      <c r="I10" s="13">
        <f t="shared" si="16"/>
        <v>0</v>
      </c>
      <c r="K10">
        <f t="shared" si="5"/>
        <v>8</v>
      </c>
      <c r="L10" s="2">
        <f>A!S14</f>
        <v>44171</v>
      </c>
      <c r="M10" s="1">
        <f>A!V14</f>
        <v>1395790</v>
      </c>
      <c r="N10" s="1">
        <f>A!W14</f>
        <v>67042.526241722589</v>
      </c>
      <c r="O10" s="13">
        <f>RANK(M10,M$3:M$42)</f>
        <v>8</v>
      </c>
      <c r="P10" s="13">
        <f>RANK(N10,N$3:N$42)</f>
        <v>13</v>
      </c>
      <c r="Q10" s="13">
        <f t="shared" si="17"/>
        <v>-5</v>
      </c>
      <c r="R10" s="14">
        <f t="shared" si="18"/>
        <v>25</v>
      </c>
      <c r="T10">
        <f t="shared" si="10"/>
        <v>8</v>
      </c>
      <c r="U10" s="2">
        <f>A!S14</f>
        <v>44171</v>
      </c>
      <c r="V10" s="1">
        <f>A!V14</f>
        <v>1395790</v>
      </c>
      <c r="W10" s="1">
        <f>A!X14</f>
        <v>3423408.4080596059</v>
      </c>
      <c r="X10" s="13">
        <f>RANK(V10,V$3:V$42)</f>
        <v>8</v>
      </c>
      <c r="Y10" s="13">
        <f>RANK(W10,W$3:W$42)</f>
        <v>8</v>
      </c>
      <c r="Z10" s="13">
        <f t="shared" si="19"/>
        <v>0</v>
      </c>
      <c r="AA10" s="14">
        <f t="shared" si="20"/>
        <v>0</v>
      </c>
    </row>
    <row r="11" spans="2:27">
      <c r="B11">
        <f t="shared" si="0"/>
        <v>9</v>
      </c>
      <c r="C11" s="2">
        <f>A!S13</f>
        <v>44178</v>
      </c>
      <c r="D11" s="1">
        <f>A!T13</f>
        <v>149393</v>
      </c>
      <c r="E11" s="1">
        <f>A!V13</f>
        <v>1516038</v>
      </c>
      <c r="F11" s="13">
        <f>RANK(D11,D$3:D$50)</f>
        <v>2</v>
      </c>
      <c r="G11" s="13">
        <f>RANK(E11,E$3:E$50)</f>
        <v>6</v>
      </c>
      <c r="H11" s="13">
        <f t="shared" si="15"/>
        <v>-4</v>
      </c>
      <c r="I11" s="13">
        <f t="shared" si="16"/>
        <v>16</v>
      </c>
      <c r="K11">
        <f t="shared" si="5"/>
        <v>9</v>
      </c>
      <c r="L11" s="2">
        <f>A!S15</f>
        <v>44164</v>
      </c>
      <c r="M11" s="1">
        <f>A!V15</f>
        <v>1381117</v>
      </c>
      <c r="N11" s="1">
        <f>A!W15</f>
        <v>51116.187770368932</v>
      </c>
      <c r="O11" s="13">
        <f>RANK(M11,M$3:M$42)</f>
        <v>9</v>
      </c>
      <c r="P11" s="13">
        <f>RANK(N11,N$3:N$42)</f>
        <v>15</v>
      </c>
      <c r="Q11" s="13">
        <f t="shared" si="17"/>
        <v>-6</v>
      </c>
      <c r="R11" s="14">
        <f t="shared" si="18"/>
        <v>36</v>
      </c>
      <c r="T11">
        <f t="shared" si="10"/>
        <v>9</v>
      </c>
      <c r="U11" s="2">
        <f>A!S15</f>
        <v>44164</v>
      </c>
      <c r="V11" s="1">
        <f>A!V15</f>
        <v>1381117</v>
      </c>
      <c r="W11" s="1">
        <f>A!X15</f>
        <v>2526851.6277571805</v>
      </c>
      <c r="X11" s="13">
        <f>RANK(V11,V$3:V$42)</f>
        <v>9</v>
      </c>
      <c r="Y11" s="13">
        <f>RANK(W11,W$3:W$42)</f>
        <v>9</v>
      </c>
      <c r="Z11" s="13">
        <f t="shared" si="19"/>
        <v>0</v>
      </c>
      <c r="AA11" s="14">
        <f t="shared" si="20"/>
        <v>0</v>
      </c>
    </row>
    <row r="12" spans="2:27">
      <c r="B12">
        <f t="shared" si="0"/>
        <v>10</v>
      </c>
      <c r="C12" s="2">
        <f>A!S14</f>
        <v>44171</v>
      </c>
      <c r="D12" s="1">
        <f>A!T14</f>
        <v>128623</v>
      </c>
      <c r="E12" s="1">
        <f>A!V14</f>
        <v>1395790</v>
      </c>
      <c r="F12" s="13">
        <f>RANK(D12,D$3:D$50)</f>
        <v>6</v>
      </c>
      <c r="G12" s="13">
        <f>RANK(E12,E$3:E$50)</f>
        <v>8</v>
      </c>
      <c r="H12" s="13">
        <f t="shared" si="15"/>
        <v>-2</v>
      </c>
      <c r="I12" s="13">
        <f t="shared" si="16"/>
        <v>4</v>
      </c>
      <c r="K12">
        <f t="shared" si="5"/>
        <v>10</v>
      </c>
      <c r="L12" s="2">
        <f>A!S16</f>
        <v>44157</v>
      </c>
      <c r="M12" s="1">
        <f>A!V16</f>
        <v>1581738</v>
      </c>
      <c r="N12" s="1">
        <f>A!W16</f>
        <v>45917.404662375651</v>
      </c>
      <c r="O12" s="13">
        <f>RANK(M12,M$3:M$42)</f>
        <v>4</v>
      </c>
      <c r="P12" s="13">
        <f>RANK(N12,N$3:N$42)</f>
        <v>18</v>
      </c>
      <c r="Q12" s="13">
        <f t="shared" si="17"/>
        <v>-14</v>
      </c>
      <c r="R12" s="14">
        <f t="shared" si="18"/>
        <v>196</v>
      </c>
      <c r="T12">
        <f t="shared" si="10"/>
        <v>10</v>
      </c>
      <c r="U12" s="2">
        <f>A!S16</f>
        <v>44157</v>
      </c>
      <c r="V12" s="1">
        <f>A!V16</f>
        <v>1581738</v>
      </c>
      <c r="W12" s="1">
        <f>A!X16</f>
        <v>2010929.6673711948</v>
      </c>
      <c r="X12" s="13">
        <f>RANK(V12,V$3:V$42)</f>
        <v>4</v>
      </c>
      <c r="Y12" s="13">
        <f>RANK(W12,W$3:W$42)</f>
        <v>10</v>
      </c>
      <c r="Z12" s="13">
        <f t="shared" si="19"/>
        <v>-6</v>
      </c>
      <c r="AA12" s="14">
        <f t="shared" si="20"/>
        <v>36</v>
      </c>
    </row>
    <row r="13" spans="2:27">
      <c r="B13">
        <f t="shared" si="0"/>
        <v>11</v>
      </c>
      <c r="C13" s="2">
        <f>A!S15</f>
        <v>44164</v>
      </c>
      <c r="D13" s="1">
        <f>A!T15</f>
        <v>124431</v>
      </c>
      <c r="E13" s="1">
        <f>A!V15</f>
        <v>1381117</v>
      </c>
      <c r="F13" s="13">
        <f>RANK(D13,D$3:D$50)</f>
        <v>11</v>
      </c>
      <c r="G13" s="13">
        <f>RANK(E13,E$3:E$50)</f>
        <v>9</v>
      </c>
      <c r="H13" s="13">
        <f t="shared" si="15"/>
        <v>2</v>
      </c>
      <c r="I13" s="13">
        <f t="shared" si="16"/>
        <v>4</v>
      </c>
      <c r="K13">
        <f t="shared" si="5"/>
        <v>11</v>
      </c>
      <c r="L13" s="2">
        <f>A!S17</f>
        <v>44150</v>
      </c>
      <c r="M13" s="1">
        <f>A!V17</f>
        <v>1596087</v>
      </c>
      <c r="N13" s="1">
        <f>A!W17</f>
        <v>47513.709745571025</v>
      </c>
      <c r="O13" s="13">
        <f>RANK(M13,M$3:M$42)</f>
        <v>2</v>
      </c>
      <c r="P13" s="13">
        <f>RANK(N13,N$3:N$42)</f>
        <v>16</v>
      </c>
      <c r="Q13" s="13">
        <f t="shared" si="17"/>
        <v>-14</v>
      </c>
      <c r="R13" s="14">
        <f t="shared" si="18"/>
        <v>196</v>
      </c>
      <c r="T13">
        <f t="shared" si="10"/>
        <v>11</v>
      </c>
      <c r="U13" s="2">
        <f>A!S17</f>
        <v>44150</v>
      </c>
      <c r="V13" s="1">
        <f>A!V17</f>
        <v>1596087</v>
      </c>
      <c r="W13" s="1">
        <f>A!X17</f>
        <v>1293838.1570564124</v>
      </c>
      <c r="X13" s="13">
        <f>RANK(V13,V$3:V$42)</f>
        <v>2</v>
      </c>
      <c r="Y13" s="13">
        <f>RANK(W13,W$3:W$42)</f>
        <v>11</v>
      </c>
      <c r="Z13" s="13">
        <f t="shared" si="19"/>
        <v>-9</v>
      </c>
      <c r="AA13" s="14">
        <f t="shared" si="20"/>
        <v>81</v>
      </c>
    </row>
    <row r="14" spans="2:27">
      <c r="B14">
        <f t="shared" si="0"/>
        <v>12</v>
      </c>
      <c r="C14" s="2">
        <f>A!S16</f>
        <v>44157</v>
      </c>
      <c r="D14" s="1">
        <f>A!T16</f>
        <v>127766</v>
      </c>
      <c r="E14" s="1">
        <f>A!V16</f>
        <v>1581738</v>
      </c>
      <c r="F14" s="13">
        <f>RANK(D14,D$3:D$50)</f>
        <v>8</v>
      </c>
      <c r="G14" s="13">
        <f>RANK(E14,E$3:E$50)</f>
        <v>4</v>
      </c>
      <c r="H14" s="13">
        <f t="shared" si="15"/>
        <v>4</v>
      </c>
      <c r="I14" s="13">
        <f t="shared" si="16"/>
        <v>16</v>
      </c>
      <c r="K14">
        <f t="shared" si="5"/>
        <v>12</v>
      </c>
      <c r="L14" s="2">
        <f>A!S18</f>
        <v>44143</v>
      </c>
      <c r="M14" s="1">
        <f>A!V18</f>
        <v>1540945</v>
      </c>
      <c r="N14" s="1">
        <f>A!W18</f>
        <v>37582.379148941203</v>
      </c>
      <c r="O14" s="13">
        <f>RANK(M14,M$3:M$42)</f>
        <v>5</v>
      </c>
      <c r="P14" s="13">
        <f>RANK(N14,N$3:N$42)</f>
        <v>20</v>
      </c>
      <c r="Q14" s="13">
        <f t="shared" si="17"/>
        <v>-15</v>
      </c>
      <c r="R14" s="14">
        <f t="shared" si="18"/>
        <v>225</v>
      </c>
      <c r="T14">
        <f t="shared" si="10"/>
        <v>12</v>
      </c>
      <c r="U14" s="2">
        <f>A!S18</f>
        <v>44143</v>
      </c>
      <c r="V14" s="1">
        <f>A!V18</f>
        <v>1540945</v>
      </c>
      <c r="W14" s="1">
        <f>A!X18</f>
        <v>786600.47417151555</v>
      </c>
      <c r="X14" s="13">
        <f>RANK(V14,V$3:V$42)</f>
        <v>5</v>
      </c>
      <c r="Y14" s="13">
        <f>RANK(W14,W$3:W$42)</f>
        <v>12</v>
      </c>
      <c r="Z14" s="13">
        <f t="shared" si="19"/>
        <v>-7</v>
      </c>
      <c r="AA14" s="14">
        <f t="shared" si="20"/>
        <v>49</v>
      </c>
    </row>
    <row r="15" spans="2:27">
      <c r="B15">
        <f t="shared" si="0"/>
        <v>13</v>
      </c>
      <c r="C15" s="2">
        <f>A!S17</f>
        <v>44150</v>
      </c>
      <c r="D15" s="1">
        <f>A!T17</f>
        <v>131998</v>
      </c>
      <c r="E15" s="1">
        <f>A!V17</f>
        <v>1596087</v>
      </c>
      <c r="F15" s="13">
        <f>RANK(D15,D$3:D$50)</f>
        <v>5</v>
      </c>
      <c r="G15" s="13">
        <f>RANK(E15,E$3:E$50)</f>
        <v>2</v>
      </c>
      <c r="H15" s="13">
        <f t="shared" si="15"/>
        <v>3</v>
      </c>
      <c r="I15" s="13">
        <f t="shared" si="16"/>
        <v>9</v>
      </c>
      <c r="K15">
        <f t="shared" si="5"/>
        <v>13</v>
      </c>
      <c r="L15" s="2">
        <f>A!S19</f>
        <v>44136</v>
      </c>
      <c r="M15" s="1">
        <f>A!V19</f>
        <v>1593278</v>
      </c>
      <c r="N15" s="1">
        <f>A!W19</f>
        <v>23019.433267119242</v>
      </c>
      <c r="O15" s="13">
        <f>RANK(M15,M$3:M$42)</f>
        <v>3</v>
      </c>
      <c r="P15" s="13">
        <f>RANK(N15,N$3:N$42)</f>
        <v>25</v>
      </c>
      <c r="Q15" s="13">
        <f t="shared" si="17"/>
        <v>-22</v>
      </c>
      <c r="R15" s="14">
        <f t="shared" si="18"/>
        <v>484</v>
      </c>
      <c r="T15">
        <f t="shared" si="10"/>
        <v>13</v>
      </c>
      <c r="U15" s="2">
        <f>A!S19</f>
        <v>44136</v>
      </c>
      <c r="V15" s="1">
        <f>A!V19</f>
        <v>1593278</v>
      </c>
      <c r="W15" s="1">
        <f>A!X19</f>
        <v>478979.13197976263</v>
      </c>
      <c r="X15" s="13">
        <f>RANK(V15,V$3:V$42)</f>
        <v>3</v>
      </c>
      <c r="Y15" s="13">
        <f>RANK(W15,W$3:W$42)</f>
        <v>14</v>
      </c>
      <c r="Z15" s="13">
        <f t="shared" si="19"/>
        <v>-11</v>
      </c>
      <c r="AA15" s="14">
        <f t="shared" si="20"/>
        <v>121</v>
      </c>
    </row>
    <row r="16" spans="2:27">
      <c r="B16">
        <f t="shared" si="0"/>
        <v>14</v>
      </c>
      <c r="C16" s="2">
        <f>A!S18</f>
        <v>44143</v>
      </c>
      <c r="D16" s="1">
        <f>A!T18</f>
        <v>125575</v>
      </c>
      <c r="E16" s="1">
        <f>A!V18</f>
        <v>1540945</v>
      </c>
      <c r="F16" s="13">
        <f>RANK(D16,D$3:D$50)</f>
        <v>9</v>
      </c>
      <c r="G16" s="13">
        <f>RANK(E16,E$3:E$50)</f>
        <v>5</v>
      </c>
      <c r="H16" s="13">
        <f t="shared" si="15"/>
        <v>4</v>
      </c>
      <c r="I16" s="13">
        <f t="shared" si="16"/>
        <v>16</v>
      </c>
      <c r="K16">
        <f t="shared" si="5"/>
        <v>14</v>
      </c>
      <c r="L16" s="2">
        <f>A!S20</f>
        <v>44129</v>
      </c>
      <c r="M16" s="1">
        <f>A!V20</f>
        <v>1425323</v>
      </c>
      <c r="N16" s="1">
        <f>A!W20</f>
        <v>17441.492710450435</v>
      </c>
      <c r="O16" s="13">
        <f>RANK(M16,M$3:M$42)</f>
        <v>7</v>
      </c>
      <c r="P16" s="13">
        <f>RANK(N16,N$3:N$42)</f>
        <v>30</v>
      </c>
      <c r="Q16" s="13">
        <f t="shared" si="17"/>
        <v>-23</v>
      </c>
      <c r="R16" s="14">
        <f t="shared" si="18"/>
        <v>529</v>
      </c>
      <c r="T16">
        <f t="shared" si="10"/>
        <v>14</v>
      </c>
      <c r="U16" s="2">
        <f>A!S20</f>
        <v>44129</v>
      </c>
      <c r="V16" s="1">
        <f>A!V20</f>
        <v>1425323</v>
      </c>
      <c r="W16" s="1">
        <f>A!X20</f>
        <v>303032.72638356418</v>
      </c>
      <c r="X16" s="13">
        <f>RANK(V16,V$3:V$42)</f>
        <v>7</v>
      </c>
      <c r="Y16" s="13">
        <f>RANK(W16,W$3:W$42)</f>
        <v>16</v>
      </c>
      <c r="Z16" s="13">
        <f t="shared" si="19"/>
        <v>-9</v>
      </c>
      <c r="AA16" s="14">
        <f t="shared" si="20"/>
        <v>81</v>
      </c>
    </row>
    <row r="17" spans="2:27">
      <c r="B17">
        <f t="shared" si="0"/>
        <v>15</v>
      </c>
      <c r="C17" s="2">
        <f>A!S19</f>
        <v>44136</v>
      </c>
      <c r="D17" s="1">
        <f>A!T19</f>
        <v>103749</v>
      </c>
      <c r="E17" s="1">
        <f>A!V19</f>
        <v>1593278</v>
      </c>
      <c r="F17" s="13">
        <f>RANK(D17,D$3:D$50)</f>
        <v>12</v>
      </c>
      <c r="G17" s="13">
        <f>RANK(E17,E$3:E$50)</f>
        <v>3</v>
      </c>
      <c r="H17" s="13">
        <f t="shared" si="15"/>
        <v>9</v>
      </c>
      <c r="I17" s="13">
        <f t="shared" si="16"/>
        <v>81</v>
      </c>
      <c r="K17">
        <f t="shared" si="5"/>
        <v>15</v>
      </c>
      <c r="L17" s="2">
        <f>A!S21</f>
        <v>44122</v>
      </c>
      <c r="M17" s="1">
        <f>A!V21</f>
        <v>1263716</v>
      </c>
      <c r="N17" s="1">
        <f>A!W21</f>
        <v>15807.607546581572</v>
      </c>
      <c r="O17" s="13">
        <f>RANK(M17,M$3:M$42)</f>
        <v>10</v>
      </c>
      <c r="P17" s="13">
        <f>RANK(N17,N$3:N$42)</f>
        <v>31</v>
      </c>
      <c r="Q17" s="13">
        <f t="shared" si="17"/>
        <v>-21</v>
      </c>
      <c r="R17" s="14">
        <f t="shared" si="18"/>
        <v>441</v>
      </c>
      <c r="T17">
        <f t="shared" si="10"/>
        <v>15</v>
      </c>
      <c r="U17" s="2">
        <f>A!S21</f>
        <v>44122</v>
      </c>
      <c r="V17" s="1">
        <f>A!V21</f>
        <v>1263716</v>
      </c>
      <c r="W17" s="1">
        <f>A!X21</f>
        <v>163696.3485254556</v>
      </c>
      <c r="X17" s="13">
        <f>RANK(V17,V$3:V$42)</f>
        <v>10</v>
      </c>
      <c r="Y17" s="13">
        <f>RANK(W17,W$3:W$42)</f>
        <v>19</v>
      </c>
      <c r="Z17" s="13">
        <f t="shared" si="19"/>
        <v>-9</v>
      </c>
      <c r="AA17" s="14">
        <f t="shared" si="20"/>
        <v>81</v>
      </c>
    </row>
    <row r="18" spans="2:27">
      <c r="B18">
        <f t="shared" si="0"/>
        <v>16</v>
      </c>
      <c r="C18" s="2">
        <f>A!S20</f>
        <v>44129</v>
      </c>
      <c r="D18" s="1">
        <f>A!T20</f>
        <v>67207</v>
      </c>
      <c r="E18" s="1">
        <f>A!V20</f>
        <v>1425323</v>
      </c>
      <c r="F18" s="13">
        <f>RANK(D18,D$3:D$50)</f>
        <v>16</v>
      </c>
      <c r="G18" s="13">
        <f>RANK(E18,E$3:E$50)</f>
        <v>7</v>
      </c>
      <c r="H18" s="13">
        <f t="shared" si="15"/>
        <v>9</v>
      </c>
      <c r="I18" s="13">
        <f t="shared" si="16"/>
        <v>81</v>
      </c>
      <c r="K18">
        <f t="shared" si="5"/>
        <v>16</v>
      </c>
      <c r="L18" s="2">
        <f>A!S22</f>
        <v>44115</v>
      </c>
      <c r="M18" s="1">
        <f>A!V22</f>
        <v>1188338</v>
      </c>
      <c r="N18" s="1">
        <f>A!W22</f>
        <v>13673.544112801488</v>
      </c>
      <c r="O18" s="13">
        <f>RANK(M18,M$3:M$42)</f>
        <v>12</v>
      </c>
      <c r="P18" s="13">
        <f>RANK(N18,N$3:N$42)</f>
        <v>32</v>
      </c>
      <c r="Q18" s="13">
        <f t="shared" si="17"/>
        <v>-20</v>
      </c>
      <c r="R18" s="14">
        <f t="shared" si="18"/>
        <v>400</v>
      </c>
      <c r="T18">
        <f t="shared" si="10"/>
        <v>16</v>
      </c>
      <c r="U18" s="2">
        <f>A!S22</f>
        <v>44115</v>
      </c>
      <c r="V18" s="1">
        <f>A!V22</f>
        <v>1188338</v>
      </c>
      <c r="W18" s="1">
        <f>A!X22</f>
        <v>101170.44151251877</v>
      </c>
      <c r="X18" s="13">
        <f>RANK(V18,V$3:V$42)</f>
        <v>12</v>
      </c>
      <c r="Y18" s="13">
        <f>RANK(W18,W$3:W$42)</f>
        <v>22</v>
      </c>
      <c r="Z18" s="13">
        <f t="shared" si="19"/>
        <v>-10</v>
      </c>
      <c r="AA18" s="14">
        <f t="shared" si="20"/>
        <v>100</v>
      </c>
    </row>
    <row r="19" spans="2:27">
      <c r="B19">
        <f t="shared" si="0"/>
        <v>17</v>
      </c>
      <c r="C19" s="2">
        <f>A!S21</f>
        <v>44122</v>
      </c>
      <c r="D19" s="1">
        <f>A!T21</f>
        <v>39110</v>
      </c>
      <c r="E19" s="1">
        <f>A!V21</f>
        <v>1263716</v>
      </c>
      <c r="F19" s="13">
        <f>RANK(D19,D$3:D$50)</f>
        <v>19</v>
      </c>
      <c r="G19" s="13">
        <f>RANK(E19,E$3:E$50)</f>
        <v>10</v>
      </c>
      <c r="H19" s="13">
        <f t="shared" si="15"/>
        <v>9</v>
      </c>
      <c r="I19" s="13">
        <f t="shared" si="16"/>
        <v>81</v>
      </c>
      <c r="K19">
        <f t="shared" si="5"/>
        <v>17</v>
      </c>
      <c r="L19" s="2">
        <f>A!S23</f>
        <v>44108</v>
      </c>
      <c r="M19" s="1">
        <f>A!V23</f>
        <v>1112967</v>
      </c>
      <c r="N19" s="1">
        <f>A!W23</f>
        <v>8187.0999287423774</v>
      </c>
      <c r="O19" s="13">
        <f>RANK(M19,M$3:M$42)</f>
        <v>18</v>
      </c>
      <c r="P19" s="13">
        <f>RANK(N19,N$3:N$42)</f>
        <v>35</v>
      </c>
      <c r="Q19" s="13">
        <f t="shared" si="17"/>
        <v>-17</v>
      </c>
      <c r="R19" s="14">
        <f t="shared" si="18"/>
        <v>289</v>
      </c>
      <c r="T19">
        <f t="shared" si="10"/>
        <v>17</v>
      </c>
      <c r="U19" s="2">
        <f>A!S23</f>
        <v>44108</v>
      </c>
      <c r="V19" s="1">
        <f>A!V23</f>
        <v>1112967</v>
      </c>
      <c r="W19" s="1">
        <f>A!X23</f>
        <v>71754.847428748748</v>
      </c>
      <c r="X19" s="13">
        <f>RANK(V19,V$3:V$42)</f>
        <v>18</v>
      </c>
      <c r="Y19" s="13">
        <f>RANK(W19,W$3:W$42)</f>
        <v>24</v>
      </c>
      <c r="Z19" s="13">
        <f t="shared" si="19"/>
        <v>-6</v>
      </c>
      <c r="AA19" s="14">
        <f t="shared" si="20"/>
        <v>36</v>
      </c>
    </row>
    <row r="20" spans="2:27">
      <c r="B20">
        <f t="shared" si="0"/>
        <v>18</v>
      </c>
      <c r="C20" s="2">
        <f>A!S22</f>
        <v>44115</v>
      </c>
      <c r="D20" s="1">
        <f>A!T22</f>
        <v>23627</v>
      </c>
      <c r="E20" s="1">
        <f>A!V22</f>
        <v>1188338</v>
      </c>
      <c r="F20" s="13">
        <f>RANK(D20,D$3:D$50)</f>
        <v>22</v>
      </c>
      <c r="G20" s="13">
        <f>RANK(E20,E$3:E$50)</f>
        <v>12</v>
      </c>
      <c r="H20" s="13">
        <f t="shared" si="15"/>
        <v>10</v>
      </c>
      <c r="I20" s="13">
        <f t="shared" si="16"/>
        <v>100</v>
      </c>
      <c r="K20">
        <f t="shared" si="5"/>
        <v>18</v>
      </c>
      <c r="L20" s="2">
        <f>A!S24</f>
        <v>44101</v>
      </c>
      <c r="M20" s="1">
        <f>A!V24</f>
        <v>1155995</v>
      </c>
      <c r="N20" s="1">
        <f>A!W24</f>
        <v>3919.0464027872144</v>
      </c>
      <c r="O20" s="13">
        <f>RANK(M20,M$3:M$42)</f>
        <v>15</v>
      </c>
      <c r="P20" s="13">
        <f>RANK(N20,N$3:N$42)</f>
        <v>39</v>
      </c>
      <c r="Q20" s="13">
        <f t="shared" si="17"/>
        <v>-24</v>
      </c>
      <c r="R20" s="14">
        <f t="shared" si="18"/>
        <v>576</v>
      </c>
      <c r="T20">
        <f t="shared" si="10"/>
        <v>18</v>
      </c>
      <c r="U20" s="2">
        <f>A!S24</f>
        <v>44101</v>
      </c>
      <c r="V20" s="1">
        <f>A!V24</f>
        <v>1155995</v>
      </c>
      <c r="W20" s="1">
        <f>A!X24</f>
        <v>33726.604729578437</v>
      </c>
      <c r="X20" s="13">
        <f>RANK(V20,V$3:V$42)</f>
        <v>15</v>
      </c>
      <c r="Y20" s="13">
        <f>RANK(W20,W$3:W$42)</f>
        <v>27</v>
      </c>
      <c r="Z20" s="13">
        <f t="shared" si="19"/>
        <v>-12</v>
      </c>
      <c r="AA20" s="14">
        <f t="shared" si="20"/>
        <v>144</v>
      </c>
    </row>
    <row r="21" spans="2:27">
      <c r="B21">
        <f t="shared" si="0"/>
        <v>19</v>
      </c>
      <c r="C21" s="2">
        <f>A!S23</f>
        <v>44108</v>
      </c>
      <c r="D21" s="1">
        <f>A!T23</f>
        <v>15097</v>
      </c>
      <c r="E21" s="1">
        <f>A!V23</f>
        <v>1112967</v>
      </c>
      <c r="F21" s="13">
        <f>RANK(D21,D$3:D$50)</f>
        <v>24</v>
      </c>
      <c r="G21" s="13">
        <f>RANK(E21,E$3:E$50)</f>
        <v>19</v>
      </c>
      <c r="H21" s="13">
        <f t="shared" si="15"/>
        <v>5</v>
      </c>
      <c r="I21" s="13">
        <f t="shared" si="16"/>
        <v>25</v>
      </c>
      <c r="K21">
        <f t="shared" si="5"/>
        <v>19</v>
      </c>
      <c r="L21" s="2">
        <f>A!S25</f>
        <v>44094</v>
      </c>
      <c r="M21" s="1">
        <f>A!V25</f>
        <v>1146565</v>
      </c>
      <c r="N21" s="1">
        <f>A!W25</f>
        <v>3441.0412142190071</v>
      </c>
      <c r="O21" s="13">
        <f>RANK(M21,M$3:M$42)</f>
        <v>16</v>
      </c>
      <c r="P21" s="13">
        <f>RANK(N21,N$3:N$42)</f>
        <v>40</v>
      </c>
      <c r="Q21" s="13">
        <f t="shared" si="17"/>
        <v>-24</v>
      </c>
      <c r="R21" s="14">
        <f t="shared" si="18"/>
        <v>576</v>
      </c>
      <c r="T21">
        <f t="shared" si="10"/>
        <v>19</v>
      </c>
      <c r="U21" s="2">
        <f>A!S25</f>
        <v>44094</v>
      </c>
      <c r="V21" s="1">
        <f>A!V25</f>
        <v>1146565</v>
      </c>
      <c r="W21" s="1">
        <f>A!X25</f>
        <v>30042.898381936171</v>
      </c>
      <c r="X21" s="13">
        <f>RANK(V21,V$3:V$42)</f>
        <v>16</v>
      </c>
      <c r="Y21" s="13">
        <f>RANK(W21,W$3:W$42)</f>
        <v>28</v>
      </c>
      <c r="Z21" s="13">
        <f t="shared" si="19"/>
        <v>-12</v>
      </c>
      <c r="AA21" s="14">
        <f t="shared" si="20"/>
        <v>144</v>
      </c>
    </row>
    <row r="22" spans="2:27">
      <c r="B22">
        <f t="shared" si="0"/>
        <v>20</v>
      </c>
      <c r="C22" s="2">
        <f>A!S24</f>
        <v>44101</v>
      </c>
      <c r="D22" s="1">
        <f>A!T24</f>
        <v>12725</v>
      </c>
      <c r="E22" s="1">
        <f>A!V24</f>
        <v>1155995</v>
      </c>
      <c r="F22" s="13">
        <f>RANK(D22,D$3:D$50)</f>
        <v>27</v>
      </c>
      <c r="G22" s="13">
        <f>RANK(E22,E$3:E$50)</f>
        <v>15</v>
      </c>
      <c r="H22" s="13">
        <f t="shared" si="15"/>
        <v>12</v>
      </c>
      <c r="I22" s="13">
        <f t="shared" si="16"/>
        <v>144</v>
      </c>
      <c r="K22">
        <f t="shared" si="5"/>
        <v>20</v>
      </c>
      <c r="L22" s="2">
        <f>A!S26</f>
        <v>44087</v>
      </c>
      <c r="M22" s="1">
        <f>A!V26</f>
        <v>1164932</v>
      </c>
      <c r="N22" s="1">
        <f>A!W26</f>
        <v>4371.5515395618331</v>
      </c>
      <c r="O22" s="13">
        <f>RANK(M22,M$3:M$42)</f>
        <v>14</v>
      </c>
      <c r="P22" s="13">
        <f>RANK(N22,N$3:N$42)</f>
        <v>38</v>
      </c>
      <c r="Q22" s="13">
        <f t="shared" si="17"/>
        <v>-24</v>
      </c>
      <c r="R22" s="14">
        <f t="shared" si="18"/>
        <v>576</v>
      </c>
      <c r="T22">
        <f t="shared" si="10"/>
        <v>20</v>
      </c>
      <c r="U22" s="2">
        <f>A!S26</f>
        <v>44087</v>
      </c>
      <c r="V22" s="1">
        <f>A!V26</f>
        <v>1164932</v>
      </c>
      <c r="W22" s="1">
        <f>A!X26</f>
        <v>25258.698270033219</v>
      </c>
      <c r="X22" s="13">
        <f>RANK(V22,V$3:V$42)</f>
        <v>14</v>
      </c>
      <c r="Y22" s="13">
        <f>RANK(W22,W$3:W$42)</f>
        <v>30</v>
      </c>
      <c r="Z22" s="13">
        <f t="shared" si="19"/>
        <v>-16</v>
      </c>
      <c r="AA22" s="14">
        <f t="shared" si="20"/>
        <v>256</v>
      </c>
    </row>
    <row r="23" spans="2:27">
      <c r="B23">
        <f t="shared" si="0"/>
        <v>21</v>
      </c>
      <c r="C23" s="2">
        <f>A!S25</f>
        <v>44094</v>
      </c>
      <c r="D23" s="1">
        <f>A!T25</f>
        <v>11987</v>
      </c>
      <c r="E23" s="1">
        <f>A!V25</f>
        <v>1146565</v>
      </c>
      <c r="F23" s="13">
        <f>RANK(D23,D$3:D$50)</f>
        <v>28</v>
      </c>
      <c r="G23" s="13">
        <f>RANK(E23,E$3:E$50)</f>
        <v>16</v>
      </c>
      <c r="H23" s="13">
        <f t="shared" si="15"/>
        <v>12</v>
      </c>
      <c r="I23" s="13">
        <f t="shared" si="16"/>
        <v>144</v>
      </c>
      <c r="K23">
        <f t="shared" si="5"/>
        <v>21</v>
      </c>
      <c r="L23" s="2">
        <f>A!S27</f>
        <v>44080</v>
      </c>
      <c r="M23" s="1">
        <f>A!V27</f>
        <v>1072316</v>
      </c>
      <c r="N23" s="1">
        <f>A!W27</f>
        <v>4944.6751814431836</v>
      </c>
      <c r="O23" s="13">
        <f>RANK(M23,M$3:M$42)</f>
        <v>21</v>
      </c>
      <c r="P23" s="13">
        <f>RANK(N23,N$3:N$42)</f>
        <v>37</v>
      </c>
      <c r="Q23" s="13">
        <f t="shared" si="17"/>
        <v>-16</v>
      </c>
      <c r="R23" s="14">
        <f t="shared" si="18"/>
        <v>256</v>
      </c>
      <c r="T23">
        <f t="shared" si="10"/>
        <v>21</v>
      </c>
      <c r="U23" s="2">
        <f>A!S27</f>
        <v>44080</v>
      </c>
      <c r="V23" s="1">
        <f>A!V27</f>
        <v>1072316</v>
      </c>
      <c r="W23" s="1">
        <f>A!X27</f>
        <v>9878.9315613624622</v>
      </c>
      <c r="X23" s="13">
        <f>RANK(V23,V$3:V$42)</f>
        <v>21</v>
      </c>
      <c r="Y23" s="13">
        <f>RANK(W23,W$3:W$42)</f>
        <v>37</v>
      </c>
      <c r="Z23" s="13">
        <f t="shared" si="19"/>
        <v>-16</v>
      </c>
      <c r="AA23" s="14">
        <f t="shared" si="20"/>
        <v>256</v>
      </c>
    </row>
    <row r="24" spans="2:27">
      <c r="B24">
        <f t="shared" si="0"/>
        <v>22</v>
      </c>
      <c r="C24" s="2">
        <f>A!S26</f>
        <v>44087</v>
      </c>
      <c r="D24" s="1">
        <f>A!T26</f>
        <v>9443</v>
      </c>
      <c r="E24" s="1">
        <f>A!V26</f>
        <v>1164932</v>
      </c>
      <c r="F24" s="13">
        <f>RANK(D24,D$3:D$50)</f>
        <v>29</v>
      </c>
      <c r="G24" s="13">
        <f>RANK(E24,E$3:E$50)</f>
        <v>14</v>
      </c>
      <c r="H24" s="13">
        <f t="shared" si="15"/>
        <v>15</v>
      </c>
      <c r="I24" s="13">
        <f t="shared" si="16"/>
        <v>225</v>
      </c>
      <c r="K24">
        <f t="shared" si="5"/>
        <v>22</v>
      </c>
      <c r="L24" s="2">
        <f>A!S28</f>
        <v>44073</v>
      </c>
      <c r="M24" s="1">
        <f>A!V28</f>
        <v>1120883</v>
      </c>
      <c r="N24" s="1">
        <f>A!W28</f>
        <v>5866.7301402713829</v>
      </c>
      <c r="O24" s="13">
        <f>RANK(M24,M$3:M$42)</f>
        <v>17</v>
      </c>
      <c r="P24" s="13">
        <f>RANK(N24,N$3:N$42)</f>
        <v>36</v>
      </c>
      <c r="Q24" s="13">
        <f t="shared" si="17"/>
        <v>-19</v>
      </c>
      <c r="R24" s="14">
        <f t="shared" si="18"/>
        <v>361</v>
      </c>
      <c r="T24">
        <f t="shared" si="10"/>
        <v>22</v>
      </c>
      <c r="U24" s="2">
        <f>A!S28</f>
        <v>44073</v>
      </c>
      <c r="V24" s="1">
        <f>A!V28</f>
        <v>1120883</v>
      </c>
      <c r="W24" s="1">
        <f>A!X28</f>
        <v>-360.562215932605</v>
      </c>
      <c r="X24" s="13">
        <f>RANK(V24,V$3:V$42)</f>
        <v>17</v>
      </c>
      <c r="Y24" s="13">
        <f>RANK(W24,W$3:W$42)</f>
        <v>40</v>
      </c>
      <c r="Z24" s="13">
        <f t="shared" si="19"/>
        <v>-23</v>
      </c>
      <c r="AA24" s="14">
        <f t="shared" si="20"/>
        <v>529</v>
      </c>
    </row>
    <row r="25" spans="2:27">
      <c r="B25">
        <f t="shared" si="0"/>
        <v>23</v>
      </c>
      <c r="C25" s="2">
        <f>A!S27</f>
        <v>44080</v>
      </c>
      <c r="D25" s="1">
        <f>A!T27</f>
        <v>8214</v>
      </c>
      <c r="E25" s="1">
        <f>A!V27</f>
        <v>1072316</v>
      </c>
      <c r="F25" s="13">
        <f>RANK(D25,D$3:D$50)</f>
        <v>33</v>
      </c>
      <c r="G25" s="13">
        <f>RANK(E25,E$3:E$50)</f>
        <v>22</v>
      </c>
      <c r="H25" s="13">
        <f t="shared" si="15"/>
        <v>11</v>
      </c>
      <c r="I25" s="13">
        <f t="shared" si="16"/>
        <v>121</v>
      </c>
      <c r="K25">
        <f t="shared" si="5"/>
        <v>23</v>
      </c>
      <c r="L25" s="2">
        <f>A!S29</f>
        <v>44066</v>
      </c>
      <c r="M25" s="1">
        <f>A!V29</f>
        <v>1008104</v>
      </c>
      <c r="N25" s="1">
        <f>A!W29</f>
        <v>8997.9396350907355</v>
      </c>
      <c r="O25" s="13">
        <f>RANK(M25,M$3:M$42)</f>
        <v>22</v>
      </c>
      <c r="P25" s="13">
        <f>RANK(N25,N$3:N$42)</f>
        <v>34</v>
      </c>
      <c r="Q25" s="13">
        <f t="shared" si="17"/>
        <v>-12</v>
      </c>
      <c r="R25" s="14">
        <f t="shared" si="18"/>
        <v>144</v>
      </c>
      <c r="T25">
        <f t="shared" si="10"/>
        <v>23</v>
      </c>
      <c r="U25" s="2">
        <f>A!S29</f>
        <v>44066</v>
      </c>
      <c r="V25" s="1">
        <f>A!V29</f>
        <v>1008104</v>
      </c>
      <c r="W25" s="1">
        <f>A!X29</f>
        <v>4635.0794861453151</v>
      </c>
      <c r="X25" s="13">
        <f>RANK(V25,V$3:V$42)</f>
        <v>22</v>
      </c>
      <c r="Y25" s="13">
        <f>RANK(W25,W$3:W$42)</f>
        <v>39</v>
      </c>
      <c r="Z25" s="13">
        <f t="shared" si="19"/>
        <v>-17</v>
      </c>
      <c r="AA25" s="14">
        <f t="shared" si="20"/>
        <v>289</v>
      </c>
    </row>
    <row r="26" spans="2:27">
      <c r="B26">
        <f t="shared" si="0"/>
        <v>24</v>
      </c>
      <c r="C26" s="2">
        <f>A!S28</f>
        <v>44073</v>
      </c>
      <c r="D26" s="1">
        <f>A!T28</f>
        <v>8907</v>
      </c>
      <c r="E26" s="1">
        <f>A!V28</f>
        <v>1120883</v>
      </c>
      <c r="F26" s="13">
        <f>RANK(D26,D$3:D$50)</f>
        <v>31</v>
      </c>
      <c r="G26" s="13">
        <f>RANK(E26,E$3:E$50)</f>
        <v>18</v>
      </c>
      <c r="H26" s="13">
        <f t="shared" si="15"/>
        <v>13</v>
      </c>
      <c r="I26" s="13">
        <f t="shared" si="16"/>
        <v>169</v>
      </c>
      <c r="K26">
        <f t="shared" si="5"/>
        <v>24</v>
      </c>
      <c r="L26" s="2">
        <f>A!S30</f>
        <v>44059</v>
      </c>
      <c r="M26" s="1">
        <f>A!V30</f>
        <v>877164</v>
      </c>
      <c r="N26" s="1">
        <f>A!W30</f>
        <v>12836.214268700089</v>
      </c>
      <c r="O26" s="13">
        <f>RANK(M26,M$3:M$42)</f>
        <v>23</v>
      </c>
      <c r="P26" s="13">
        <f>RANK(N26,N$3:N$42)</f>
        <v>33</v>
      </c>
      <c r="Q26" s="13">
        <f t="shared" si="17"/>
        <v>-10</v>
      </c>
      <c r="R26" s="14">
        <f t="shared" si="18"/>
        <v>100</v>
      </c>
      <c r="T26">
        <f t="shared" si="10"/>
        <v>24</v>
      </c>
      <c r="U26" s="2">
        <f>A!S30</f>
        <v>44059</v>
      </c>
      <c r="V26" s="1">
        <f>A!V30</f>
        <v>877164</v>
      </c>
      <c r="W26" s="1">
        <f>A!X30</f>
        <v>6439.4219168791888</v>
      </c>
      <c r="X26" s="13">
        <f>RANK(V26,V$3:V$42)</f>
        <v>23</v>
      </c>
      <c r="Y26" s="13">
        <f>RANK(W26,W$3:W$42)</f>
        <v>38</v>
      </c>
      <c r="Z26" s="13">
        <f t="shared" si="19"/>
        <v>-15</v>
      </c>
      <c r="AA26" s="14">
        <f t="shared" si="20"/>
        <v>225</v>
      </c>
    </row>
    <row r="27" spans="2:27">
      <c r="B27">
        <f t="shared" si="0"/>
        <v>25</v>
      </c>
      <c r="C27" s="2">
        <f>A!S29</f>
        <v>44066</v>
      </c>
      <c r="D27" s="1">
        <f>A!T29</f>
        <v>9411</v>
      </c>
      <c r="E27" s="1">
        <f>A!V29</f>
        <v>1008104</v>
      </c>
      <c r="F27" s="13">
        <f>RANK(D27,D$3:D$50)</f>
        <v>30</v>
      </c>
      <c r="G27" s="13">
        <f>RANK(E27,E$3:E$50)</f>
        <v>24</v>
      </c>
      <c r="H27" s="13">
        <f t="shared" si="15"/>
        <v>6</v>
      </c>
      <c r="I27" s="13">
        <f t="shared" si="16"/>
        <v>36</v>
      </c>
      <c r="K27">
        <f t="shared" si="5"/>
        <v>25</v>
      </c>
      <c r="L27" s="2">
        <f>A!S31</f>
        <v>44052</v>
      </c>
      <c r="M27" s="1">
        <f>A!V31</f>
        <v>716768</v>
      </c>
      <c r="N27" s="1">
        <f>A!W31</f>
        <v>17552.491722395011</v>
      </c>
      <c r="O27" s="13">
        <f>RANK(M27,M$3:M$42)</f>
        <v>25</v>
      </c>
      <c r="P27" s="13">
        <f>RANK(N27,N$3:N$42)</f>
        <v>29</v>
      </c>
      <c r="Q27" s="13">
        <f t="shared" si="17"/>
        <v>-4</v>
      </c>
      <c r="R27" s="14">
        <f t="shared" si="18"/>
        <v>16</v>
      </c>
      <c r="T27">
        <f t="shared" si="10"/>
        <v>25</v>
      </c>
      <c r="U27" s="2">
        <f>A!S31</f>
        <v>44052</v>
      </c>
      <c r="V27" s="1">
        <f>A!V31</f>
        <v>716768</v>
      </c>
      <c r="W27" s="1">
        <f>A!X31</f>
        <v>14486.59173120034</v>
      </c>
      <c r="X27" s="13">
        <f>RANK(V27,V$3:V$42)</f>
        <v>25</v>
      </c>
      <c r="Y27" s="13">
        <f>RANK(W27,W$3:W$42)</f>
        <v>36</v>
      </c>
      <c r="Z27" s="13">
        <f t="shared" si="19"/>
        <v>-11</v>
      </c>
      <c r="AA27" s="14">
        <f t="shared" si="20"/>
        <v>121</v>
      </c>
    </row>
    <row r="28" spans="2:27">
      <c r="B28">
        <f t="shared" si="0"/>
        <v>26</v>
      </c>
      <c r="C28" s="2">
        <f>A!S30</f>
        <v>44059</v>
      </c>
      <c r="D28" s="1">
        <f>A!T30</f>
        <v>7562</v>
      </c>
      <c r="E28" s="1">
        <f>A!V30</f>
        <v>877164</v>
      </c>
      <c r="F28" s="13">
        <f>RANK(D28,D$3:D$50)</f>
        <v>34</v>
      </c>
      <c r="G28" s="13">
        <f>RANK(E28,E$3:E$50)</f>
        <v>26</v>
      </c>
      <c r="H28" s="13">
        <f t="shared" si="15"/>
        <v>8</v>
      </c>
      <c r="I28" s="13">
        <f t="shared" si="16"/>
        <v>64</v>
      </c>
      <c r="K28">
        <f t="shared" si="5"/>
        <v>26</v>
      </c>
      <c r="L28" s="2">
        <f>A!S32</f>
        <v>44045</v>
      </c>
      <c r="M28" s="1">
        <f>A!V32</f>
        <v>586620</v>
      </c>
      <c r="N28" s="1">
        <f>A!W32</f>
        <v>19631.023173067511</v>
      </c>
      <c r="O28" s="13">
        <f>RANK(M28,M$3:M$42)</f>
        <v>26</v>
      </c>
      <c r="P28" s="13">
        <f>RANK(N28,N$3:N$42)</f>
        <v>28</v>
      </c>
      <c r="Q28" s="13">
        <f t="shared" si="17"/>
        <v>-2</v>
      </c>
      <c r="R28" s="14">
        <f t="shared" si="18"/>
        <v>4</v>
      </c>
      <c r="T28">
        <f t="shared" si="10"/>
        <v>26</v>
      </c>
      <c r="U28" s="2">
        <f>A!S32</f>
        <v>44045</v>
      </c>
      <c r="V28" s="1">
        <f>A!V32</f>
        <v>586620</v>
      </c>
      <c r="W28" s="1">
        <f>A!X32</f>
        <v>16516.622847588547</v>
      </c>
      <c r="X28" s="13">
        <f>RANK(V28,V$3:V$42)</f>
        <v>26</v>
      </c>
      <c r="Y28" s="13">
        <f>RANK(W28,W$3:W$42)</f>
        <v>35</v>
      </c>
      <c r="Z28" s="13">
        <f t="shared" si="19"/>
        <v>-9</v>
      </c>
      <c r="AA28" s="14">
        <f t="shared" si="20"/>
        <v>81</v>
      </c>
    </row>
    <row r="29" spans="2:27">
      <c r="B29">
        <f t="shared" si="0"/>
        <v>27</v>
      </c>
      <c r="C29" s="2">
        <f>A!S31</f>
        <v>44052</v>
      </c>
      <c r="D29" s="1">
        <f>A!T31</f>
        <v>5998</v>
      </c>
      <c r="E29" s="1">
        <f>A!V31</f>
        <v>716768</v>
      </c>
      <c r="F29" s="13">
        <f>RANK(D29,D$3:D$50)</f>
        <v>36</v>
      </c>
      <c r="G29" s="13">
        <f>RANK(E29,E$3:E$50)</f>
        <v>28</v>
      </c>
      <c r="H29" s="13">
        <f t="shared" si="15"/>
        <v>8</v>
      </c>
      <c r="I29" s="13">
        <f t="shared" si="16"/>
        <v>64</v>
      </c>
      <c r="K29">
        <f t="shared" si="5"/>
        <v>27</v>
      </c>
      <c r="L29" s="2">
        <f>A!S33</f>
        <v>44038</v>
      </c>
      <c r="M29" s="1">
        <f>A!V33</f>
        <v>574883</v>
      </c>
      <c r="N29" s="1">
        <f>A!W33</f>
        <v>20853.686062881861</v>
      </c>
      <c r="O29" s="13">
        <f>RANK(M29,M$3:M$42)</f>
        <v>27</v>
      </c>
      <c r="P29" s="13">
        <f>RANK(N29,N$3:N$42)</f>
        <v>27</v>
      </c>
      <c r="Q29" s="13">
        <f t="shared" si="17"/>
        <v>0</v>
      </c>
      <c r="R29" s="14">
        <f t="shared" si="18"/>
        <v>0</v>
      </c>
      <c r="T29">
        <f t="shared" si="10"/>
        <v>27</v>
      </c>
      <c r="U29" s="2">
        <f>A!S33</f>
        <v>44038</v>
      </c>
      <c r="V29" s="1">
        <f>A!V33</f>
        <v>574883</v>
      </c>
      <c r="W29" s="1">
        <f>A!X33</f>
        <v>22633.412029674077</v>
      </c>
      <c r="X29" s="13">
        <f>RANK(V29,V$3:V$42)</f>
        <v>27</v>
      </c>
      <c r="Y29" s="13">
        <f>RANK(W29,W$3:W$42)</f>
        <v>31</v>
      </c>
      <c r="Z29" s="13">
        <f t="shared" si="19"/>
        <v>-4</v>
      </c>
      <c r="AA29" s="14">
        <f t="shared" si="20"/>
        <v>16</v>
      </c>
    </row>
    <row r="30" spans="2:27">
      <c r="B30">
        <f t="shared" si="0"/>
        <v>28</v>
      </c>
      <c r="C30" s="2">
        <f>A!S32</f>
        <v>44045</v>
      </c>
      <c r="D30" s="1">
        <f>A!T32</f>
        <v>4624</v>
      </c>
      <c r="E30" s="1">
        <f>A!V32</f>
        <v>586620</v>
      </c>
      <c r="F30" s="13">
        <f>RANK(D30,D$3:D$50)</f>
        <v>38</v>
      </c>
      <c r="G30" s="13">
        <f>RANK(E30,E$3:E$50)</f>
        <v>29</v>
      </c>
      <c r="H30" s="13">
        <f t="shared" si="15"/>
        <v>9</v>
      </c>
      <c r="I30" s="13">
        <f t="shared" si="16"/>
        <v>81</v>
      </c>
      <c r="K30">
        <f t="shared" si="5"/>
        <v>28</v>
      </c>
      <c r="L30" s="2">
        <f>A!S34</f>
        <v>44031</v>
      </c>
      <c r="M30" s="1">
        <f>A!V34</f>
        <v>538701</v>
      </c>
      <c r="N30" s="1">
        <f>A!W34</f>
        <v>21492.950548751414</v>
      </c>
      <c r="O30" s="13">
        <f>RANK(M30,M$3:M$42)</f>
        <v>28</v>
      </c>
      <c r="P30" s="13">
        <f>RANK(N30,N$3:N$42)</f>
        <v>26</v>
      </c>
      <c r="Q30" s="13">
        <f t="shared" si="17"/>
        <v>2</v>
      </c>
      <c r="R30" s="14">
        <f t="shared" si="18"/>
        <v>4</v>
      </c>
      <c r="T30">
        <f t="shared" si="10"/>
        <v>28</v>
      </c>
      <c r="U30" s="2">
        <f>A!S34</f>
        <v>44031</v>
      </c>
      <c r="V30" s="1">
        <f>A!V34</f>
        <v>538701</v>
      </c>
      <c r="W30" s="1">
        <f>A!X34</f>
        <v>16915.332592432602</v>
      </c>
      <c r="X30" s="13">
        <f>RANK(V30,V$3:V$42)</f>
        <v>28</v>
      </c>
      <c r="Y30" s="13">
        <f>RANK(W30,W$3:W$42)</f>
        <v>34</v>
      </c>
      <c r="Z30" s="13">
        <f t="shared" si="19"/>
        <v>-6</v>
      </c>
      <c r="AA30" s="14">
        <f t="shared" si="20"/>
        <v>36</v>
      </c>
    </row>
    <row r="31" spans="2:27">
      <c r="B31">
        <f t="shared" si="0"/>
        <v>29</v>
      </c>
      <c r="C31" s="2">
        <f>A!S33</f>
        <v>44038</v>
      </c>
      <c r="D31" s="1">
        <f>A!T33</f>
        <v>3695</v>
      </c>
      <c r="E31" s="1">
        <f>A!V33</f>
        <v>574883</v>
      </c>
      <c r="F31" s="13">
        <f>RANK(D31,D$3:D$50)</f>
        <v>40</v>
      </c>
      <c r="G31" s="13">
        <f>RANK(E31,E$3:E$50)</f>
        <v>30</v>
      </c>
      <c r="H31" s="13">
        <f t="shared" si="15"/>
        <v>10</v>
      </c>
      <c r="I31" s="13">
        <f t="shared" si="16"/>
        <v>100</v>
      </c>
      <c r="K31">
        <f t="shared" si="5"/>
        <v>29</v>
      </c>
      <c r="L31" s="2">
        <f>A!S35</f>
        <v>44024</v>
      </c>
      <c r="M31" s="1">
        <f>A!V35</f>
        <v>510551</v>
      </c>
      <c r="N31" s="1">
        <f>A!W35</f>
        <v>24004.385099205123</v>
      </c>
      <c r="O31" s="13">
        <f>RANK(M31,M$3:M$42)</f>
        <v>29</v>
      </c>
      <c r="P31" s="13">
        <f>RANK(N31,N$3:N$42)</f>
        <v>24</v>
      </c>
      <c r="Q31" s="13">
        <f t="shared" si="17"/>
        <v>5</v>
      </c>
      <c r="R31" s="14">
        <f t="shared" si="18"/>
        <v>25</v>
      </c>
      <c r="T31">
        <f t="shared" si="10"/>
        <v>29</v>
      </c>
      <c r="U31" s="2">
        <f>A!S35</f>
        <v>44024</v>
      </c>
      <c r="V31" s="1">
        <f>A!V35</f>
        <v>510551</v>
      </c>
      <c r="W31" s="1">
        <f>A!X35</f>
        <v>18895.990314841951</v>
      </c>
      <c r="X31" s="13">
        <f>RANK(V31,V$3:V$42)</f>
        <v>29</v>
      </c>
      <c r="Y31" s="13">
        <f>RANK(W31,W$3:W$42)</f>
        <v>32</v>
      </c>
      <c r="Z31" s="13">
        <f t="shared" si="19"/>
        <v>-3</v>
      </c>
      <c r="AA31" s="14">
        <f t="shared" si="20"/>
        <v>9</v>
      </c>
    </row>
    <row r="32" spans="2:27">
      <c r="B32">
        <f t="shared" si="0"/>
        <v>30</v>
      </c>
      <c r="C32" s="2">
        <f>A!S34</f>
        <v>44031</v>
      </c>
      <c r="D32" s="1">
        <f>A!T34</f>
        <v>2770</v>
      </c>
      <c r="E32" s="1">
        <f>A!V34</f>
        <v>538701</v>
      </c>
      <c r="F32" s="13">
        <f>RANK(D32,D$3:D$50)</f>
        <v>45</v>
      </c>
      <c r="G32" s="13">
        <f>RANK(E32,E$3:E$50)</f>
        <v>31</v>
      </c>
      <c r="H32" s="13">
        <f t="shared" si="15"/>
        <v>14</v>
      </c>
      <c r="I32" s="13">
        <f t="shared" si="16"/>
        <v>196</v>
      </c>
      <c r="K32">
        <f t="shared" si="5"/>
        <v>30</v>
      </c>
      <c r="L32" s="2">
        <f>A!S36</f>
        <v>44017</v>
      </c>
      <c r="M32" s="1">
        <f>A!V36</f>
        <v>507663</v>
      </c>
      <c r="N32" s="1">
        <f>A!W36</f>
        <v>26664.245243013229</v>
      </c>
      <c r="O32" s="13">
        <f>RANK(M32,M$3:M$42)</f>
        <v>30</v>
      </c>
      <c r="P32" s="13">
        <f>RANK(N32,N$3:N$42)</f>
        <v>23</v>
      </c>
      <c r="Q32" s="13">
        <f t="shared" si="17"/>
        <v>7</v>
      </c>
      <c r="R32" s="14">
        <f t="shared" si="18"/>
        <v>49</v>
      </c>
      <c r="T32">
        <f t="shared" si="10"/>
        <v>30</v>
      </c>
      <c r="U32" s="2">
        <f>A!S36</f>
        <v>44017</v>
      </c>
      <c r="V32" s="1">
        <f>A!V36</f>
        <v>507663</v>
      </c>
      <c r="W32" s="1">
        <f>A!X36</f>
        <v>17958.362535783701</v>
      </c>
      <c r="X32" s="13">
        <f>RANK(V32,V$3:V$42)</f>
        <v>30</v>
      </c>
      <c r="Y32" s="13">
        <f>RANK(W32,W$3:W$42)</f>
        <v>33</v>
      </c>
      <c r="Z32" s="13">
        <f t="shared" si="19"/>
        <v>-3</v>
      </c>
      <c r="AA32" s="14">
        <f t="shared" si="20"/>
        <v>9</v>
      </c>
    </row>
    <row r="33" spans="2:27">
      <c r="B33">
        <f t="shared" si="0"/>
        <v>31</v>
      </c>
      <c r="C33" s="2">
        <f>A!S35</f>
        <v>44024</v>
      </c>
      <c r="D33" s="1">
        <f>A!T35</f>
        <v>2469</v>
      </c>
      <c r="E33" s="1">
        <f>A!V35</f>
        <v>510551</v>
      </c>
      <c r="F33" s="13">
        <f>RANK(D33,D$3:D$50)</f>
        <v>47</v>
      </c>
      <c r="G33" s="13">
        <f>RANK(E33,E$3:E$50)</f>
        <v>32</v>
      </c>
      <c r="H33" s="13">
        <f t="shared" si="15"/>
        <v>15</v>
      </c>
      <c r="I33" s="13">
        <f t="shared" si="16"/>
        <v>225</v>
      </c>
      <c r="K33">
        <f t="shared" si="5"/>
        <v>31</v>
      </c>
      <c r="L33" s="2">
        <f>A!S37</f>
        <v>44010</v>
      </c>
      <c r="M33" s="1">
        <f>A!V37</f>
        <v>467413</v>
      </c>
      <c r="N33" s="1">
        <f>A!W37</f>
        <v>30533.066118847353</v>
      </c>
      <c r="O33" s="13">
        <f>RANK(M33,M$3:M$42)</f>
        <v>31</v>
      </c>
      <c r="P33" s="13">
        <f>RANK(N33,N$3:N$42)</f>
        <v>22</v>
      </c>
      <c r="Q33" s="13">
        <f t="shared" si="17"/>
        <v>9</v>
      </c>
      <c r="R33" s="14">
        <f t="shared" si="18"/>
        <v>81</v>
      </c>
      <c r="T33">
        <f t="shared" si="10"/>
        <v>31</v>
      </c>
      <c r="U33" s="2">
        <f>A!S37</f>
        <v>44010</v>
      </c>
      <c r="V33" s="1">
        <f>A!V37</f>
        <v>467413</v>
      </c>
      <c r="W33" s="1">
        <f>A!X37</f>
        <v>29553.668579533227</v>
      </c>
      <c r="X33" s="13">
        <f>RANK(V33,V$3:V$42)</f>
        <v>31</v>
      </c>
      <c r="Y33" s="13">
        <f>RANK(W33,W$3:W$42)</f>
        <v>29</v>
      </c>
      <c r="Z33" s="13">
        <f t="shared" si="19"/>
        <v>2</v>
      </c>
      <c r="AA33" s="14">
        <f t="shared" si="20"/>
        <v>4</v>
      </c>
    </row>
    <row r="34" spans="2:27">
      <c r="B34">
        <f t="shared" si="0"/>
        <v>32</v>
      </c>
      <c r="C34" s="2">
        <f>A!S36</f>
        <v>44017</v>
      </c>
      <c r="D34" s="1">
        <f>A!T36</f>
        <v>2836</v>
      </c>
      <c r="E34" s="1">
        <f>A!V36</f>
        <v>507663</v>
      </c>
      <c r="F34" s="13">
        <f>RANK(D34,D$3:D$50)</f>
        <v>44</v>
      </c>
      <c r="G34" s="13">
        <f>RANK(E34,E$3:E$50)</f>
        <v>33</v>
      </c>
      <c r="H34" s="13">
        <f t="shared" si="15"/>
        <v>11</v>
      </c>
      <c r="I34" s="13">
        <f t="shared" si="16"/>
        <v>121</v>
      </c>
      <c r="K34">
        <f t="shared" si="5"/>
        <v>32</v>
      </c>
      <c r="L34" s="2">
        <f>A!S38</f>
        <v>44003</v>
      </c>
      <c r="M34" s="1">
        <f>A!V38</f>
        <v>388187</v>
      </c>
      <c r="N34" s="1">
        <f>A!W38</f>
        <v>38750.791927230268</v>
      </c>
      <c r="O34" s="13">
        <f>RANK(M34,M$3:M$42)</f>
        <v>35</v>
      </c>
      <c r="P34" s="13">
        <f>RANK(N34,N$3:N$42)</f>
        <v>19</v>
      </c>
      <c r="Q34" s="13">
        <f t="shared" si="17"/>
        <v>16</v>
      </c>
      <c r="R34" s="14">
        <f t="shared" si="18"/>
        <v>256</v>
      </c>
      <c r="T34">
        <f t="shared" si="10"/>
        <v>32</v>
      </c>
      <c r="U34" s="2">
        <f>A!S38</f>
        <v>44003</v>
      </c>
      <c r="V34" s="1">
        <f>A!V38</f>
        <v>388187</v>
      </c>
      <c r="W34" s="1">
        <f>A!X38</f>
        <v>37936.990529911207</v>
      </c>
      <c r="X34" s="13">
        <f>RANK(V34,V$3:V$42)</f>
        <v>35</v>
      </c>
      <c r="Y34" s="13">
        <f>RANK(W34,W$3:W$42)</f>
        <v>26</v>
      </c>
      <c r="Z34" s="13">
        <f t="shared" si="19"/>
        <v>9</v>
      </c>
      <c r="AA34" s="14">
        <f t="shared" si="20"/>
        <v>81</v>
      </c>
    </row>
    <row r="35" spans="2:27">
      <c r="B35">
        <f t="shared" si="0"/>
        <v>33</v>
      </c>
      <c r="C35" s="2">
        <f>A!S37</f>
        <v>44010</v>
      </c>
      <c r="D35" s="1">
        <f>A!T37</f>
        <v>3677</v>
      </c>
      <c r="E35" s="1">
        <f>A!V37</f>
        <v>467413</v>
      </c>
      <c r="F35" s="13">
        <f>RANK(D35,D$3:D$50)</f>
        <v>41</v>
      </c>
      <c r="G35" s="13">
        <f>RANK(E35,E$3:E$50)</f>
        <v>34</v>
      </c>
      <c r="H35" s="13">
        <f t="shared" si="15"/>
        <v>7</v>
      </c>
      <c r="I35" s="13">
        <f t="shared" si="16"/>
        <v>49</v>
      </c>
      <c r="K35">
        <f t="shared" si="5"/>
        <v>33</v>
      </c>
      <c r="L35" s="2">
        <f>A!S39</f>
        <v>43996</v>
      </c>
      <c r="M35" s="1">
        <f>A!V39</f>
        <v>327196</v>
      </c>
      <c r="N35" s="1">
        <f>A!W39</f>
        <v>46725.396617901504</v>
      </c>
      <c r="O35" s="13">
        <f>RANK(M35,M$3:M$42)</f>
        <v>39</v>
      </c>
      <c r="P35" s="13">
        <f>RANK(N35,N$3:N$42)</f>
        <v>17</v>
      </c>
      <c r="Q35" s="13">
        <f t="shared" si="17"/>
        <v>22</v>
      </c>
      <c r="R35" s="14">
        <f t="shared" si="18"/>
        <v>484</v>
      </c>
      <c r="T35">
        <f t="shared" si="10"/>
        <v>33</v>
      </c>
      <c r="U35" s="2">
        <f>A!S39</f>
        <v>43996</v>
      </c>
      <c r="V35" s="1">
        <f>A!V39</f>
        <v>327196</v>
      </c>
      <c r="W35" s="1">
        <f>A!X39</f>
        <v>67151.681302133395</v>
      </c>
      <c r="X35" s="13">
        <f>RANK(V35,V$3:V$42)</f>
        <v>39</v>
      </c>
      <c r="Y35" s="13">
        <f>RANK(W35,W$3:W$42)</f>
        <v>25</v>
      </c>
      <c r="Z35" s="13">
        <f t="shared" si="19"/>
        <v>14</v>
      </c>
      <c r="AA35" s="14">
        <f t="shared" si="20"/>
        <v>196</v>
      </c>
    </row>
    <row r="36" spans="2:27">
      <c r="B36">
        <f t="shared" si="0"/>
        <v>34</v>
      </c>
      <c r="C36" s="2">
        <f>A!S38</f>
        <v>44003</v>
      </c>
      <c r="D36" s="1">
        <f>A!T38</f>
        <v>3553</v>
      </c>
      <c r="E36" s="1">
        <f>A!V38</f>
        <v>388187</v>
      </c>
      <c r="F36" s="13">
        <f>RANK(D36,D$3:D$50)</f>
        <v>42</v>
      </c>
      <c r="G36" s="13">
        <f>RANK(E36,E$3:E$50)</f>
        <v>39</v>
      </c>
      <c r="H36" s="13">
        <f t="shared" si="15"/>
        <v>3</v>
      </c>
      <c r="I36" s="13">
        <f t="shared" si="16"/>
        <v>9</v>
      </c>
      <c r="K36">
        <f t="shared" si="5"/>
        <v>34</v>
      </c>
      <c r="L36" s="2">
        <f>A!S40</f>
        <v>43989</v>
      </c>
      <c r="M36" s="1">
        <f>A!V40</f>
        <v>340986</v>
      </c>
      <c r="N36" s="1">
        <f>A!W40</f>
        <v>58133.640302557025</v>
      </c>
      <c r="O36" s="13">
        <f>RANK(M36,M$3:M$42)</f>
        <v>38</v>
      </c>
      <c r="P36" s="13">
        <f>RANK(N36,N$3:N$42)</f>
        <v>14</v>
      </c>
      <c r="Q36" s="13">
        <f t="shared" si="17"/>
        <v>24</v>
      </c>
      <c r="R36" s="14">
        <f t="shared" si="18"/>
        <v>576</v>
      </c>
      <c r="T36">
        <f t="shared" si="10"/>
        <v>34</v>
      </c>
      <c r="U36" s="2">
        <f>A!S40</f>
        <v>43989</v>
      </c>
      <c r="V36" s="1">
        <f>A!V40</f>
        <v>340986</v>
      </c>
      <c r="W36" s="1">
        <f>A!X40</f>
        <v>94766.59625845043</v>
      </c>
      <c r="X36" s="13">
        <f>RANK(V36,V$3:V$42)</f>
        <v>38</v>
      </c>
      <c r="Y36" s="13">
        <f>RANK(W36,W$3:W$42)</f>
        <v>23</v>
      </c>
      <c r="Z36" s="13">
        <f t="shared" si="19"/>
        <v>15</v>
      </c>
      <c r="AA36" s="14">
        <f t="shared" si="20"/>
        <v>225</v>
      </c>
    </row>
    <row r="37" spans="2:27">
      <c r="B37">
        <f t="shared" si="0"/>
        <v>35</v>
      </c>
      <c r="C37" s="2">
        <f>A!S39</f>
        <v>43996</v>
      </c>
      <c r="D37" s="1">
        <f>A!T39</f>
        <v>2472</v>
      </c>
      <c r="E37" s="1">
        <f>A!V39</f>
        <v>327196</v>
      </c>
      <c r="F37" s="13">
        <f>RANK(D37,D$3:D$50)</f>
        <v>46</v>
      </c>
      <c r="G37" s="13">
        <f>RANK(E37,E$3:E$50)</f>
        <v>47</v>
      </c>
      <c r="H37" s="13">
        <f t="shared" si="15"/>
        <v>-1</v>
      </c>
      <c r="I37" s="13">
        <f t="shared" si="16"/>
        <v>1</v>
      </c>
      <c r="K37">
        <f t="shared" si="5"/>
        <v>35</v>
      </c>
      <c r="L37" s="2">
        <f>A!S41</f>
        <v>43982</v>
      </c>
      <c r="M37" s="1">
        <f>A!V41</f>
        <v>405269</v>
      </c>
      <c r="N37" s="1">
        <f>A!W41</f>
        <v>73644.501449201271</v>
      </c>
      <c r="O37" s="13">
        <f>RANK(M37,M$3:M$42)</f>
        <v>33</v>
      </c>
      <c r="P37" s="13">
        <f>RANK(N37,N$3:N$42)</f>
        <v>12</v>
      </c>
      <c r="Q37" s="13">
        <f t="shared" si="17"/>
        <v>21</v>
      </c>
      <c r="R37" s="14">
        <f t="shared" si="18"/>
        <v>441</v>
      </c>
      <c r="T37">
        <f t="shared" si="10"/>
        <v>35</v>
      </c>
      <c r="U37" s="2">
        <f>A!S41</f>
        <v>43982</v>
      </c>
      <c r="V37" s="1">
        <f>A!V41</f>
        <v>405269</v>
      </c>
      <c r="W37" s="1">
        <f>A!X41</f>
        <v>151973.84632687937</v>
      </c>
      <c r="X37" s="13">
        <f>RANK(V37,V$3:V$42)</f>
        <v>33</v>
      </c>
      <c r="Y37" s="13">
        <f>RANK(W37,W$3:W$42)</f>
        <v>20</v>
      </c>
      <c r="Z37" s="13">
        <f t="shared" si="19"/>
        <v>13</v>
      </c>
      <c r="AA37" s="14">
        <f t="shared" si="20"/>
        <v>169</v>
      </c>
    </row>
    <row r="38" spans="2:27">
      <c r="B38">
        <f t="shared" si="0"/>
        <v>36</v>
      </c>
      <c r="C38" s="2">
        <f>A!S40</f>
        <v>43989</v>
      </c>
      <c r="D38" s="1">
        <f>A!T40</f>
        <v>2315</v>
      </c>
      <c r="E38" s="1">
        <f>A!V40</f>
        <v>340986</v>
      </c>
      <c r="F38" s="13">
        <f>RANK(D38,D$3:D$50)</f>
        <v>48</v>
      </c>
      <c r="G38" s="13">
        <f>RANK(E38,E$3:E$50)</f>
        <v>45</v>
      </c>
      <c r="H38" s="13">
        <f t="shared" si="15"/>
        <v>3</v>
      </c>
      <c r="I38" s="13">
        <f t="shared" si="16"/>
        <v>9</v>
      </c>
      <c r="K38">
        <f t="shared" si="5"/>
        <v>36</v>
      </c>
      <c r="L38" s="2">
        <f>A!S42</f>
        <v>43975</v>
      </c>
      <c r="M38" s="1">
        <f>A!V42</f>
        <v>353467</v>
      </c>
      <c r="N38" s="1">
        <f>A!W42</f>
        <v>96748.401153824103</v>
      </c>
      <c r="O38" s="13">
        <f>RANK(M38,M$3:M$42)</f>
        <v>37</v>
      </c>
      <c r="P38" s="13">
        <f>RANK(N38,N$3:N$42)</f>
        <v>10</v>
      </c>
      <c r="Q38" s="13">
        <f t="shared" si="17"/>
        <v>27</v>
      </c>
      <c r="R38" s="14">
        <f t="shared" si="18"/>
        <v>729</v>
      </c>
      <c r="T38">
        <f t="shared" si="10"/>
        <v>36</v>
      </c>
      <c r="U38" s="2">
        <f>A!S42</f>
        <v>43975</v>
      </c>
      <c r="V38" s="1">
        <f>A!V42</f>
        <v>353467</v>
      </c>
      <c r="W38" s="1">
        <f>A!X42</f>
        <v>179787.54217945822</v>
      </c>
      <c r="X38" s="13">
        <f>RANK(V38,V$3:V$42)</f>
        <v>37</v>
      </c>
      <c r="Y38" s="13">
        <f>RANK(W38,W$3:W$42)</f>
        <v>18</v>
      </c>
      <c r="Z38" s="13">
        <f t="shared" si="19"/>
        <v>19</v>
      </c>
      <c r="AA38" s="14">
        <f t="shared" si="20"/>
        <v>361</v>
      </c>
    </row>
    <row r="39" spans="2:27">
      <c r="B39">
        <f t="shared" si="0"/>
        <v>37</v>
      </c>
      <c r="C39" s="2">
        <f>A!S41</f>
        <v>43982</v>
      </c>
      <c r="D39" s="1">
        <f>A!T41</f>
        <v>3201</v>
      </c>
      <c r="E39" s="1">
        <f>A!V41</f>
        <v>405269</v>
      </c>
      <c r="F39" s="13">
        <f>RANK(D39,D$3:D$50)</f>
        <v>43</v>
      </c>
      <c r="G39" s="13">
        <f>RANK(E39,E$3:E$50)</f>
        <v>37</v>
      </c>
      <c r="H39" s="13">
        <f t="shared" si="15"/>
        <v>6</v>
      </c>
      <c r="I39" s="13">
        <f t="shared" si="16"/>
        <v>36</v>
      </c>
      <c r="K39">
        <f t="shared" si="5"/>
        <v>37</v>
      </c>
      <c r="L39" s="2">
        <f>A!S43</f>
        <v>43968</v>
      </c>
      <c r="M39" s="1">
        <f>A!V43</f>
        <v>432666</v>
      </c>
      <c r="N39" s="1">
        <f>A!W43</f>
        <v>130743.67088605484</v>
      </c>
      <c r="O39" s="13">
        <f>RANK(M39,M$3:M$42)</f>
        <v>32</v>
      </c>
      <c r="P39" s="13">
        <f>RANK(N39,N$3:N$42)</f>
        <v>7</v>
      </c>
      <c r="Q39" s="13">
        <f t="shared" si="17"/>
        <v>25</v>
      </c>
      <c r="R39" s="14">
        <f t="shared" si="18"/>
        <v>625</v>
      </c>
      <c r="T39">
        <f t="shared" si="10"/>
        <v>37</v>
      </c>
      <c r="U39" s="2">
        <f>A!S43</f>
        <v>43968</v>
      </c>
      <c r="V39" s="1">
        <f>A!V43</f>
        <v>432666</v>
      </c>
      <c r="W39" s="1">
        <f>A!X43</f>
        <v>275030.99433564529</v>
      </c>
      <c r="X39" s="13">
        <f>RANK(V39,V$3:V$42)</f>
        <v>32</v>
      </c>
      <c r="Y39" s="13">
        <f>RANK(W39,W$3:W$42)</f>
        <v>17</v>
      </c>
      <c r="Z39" s="13">
        <f t="shared" si="19"/>
        <v>15</v>
      </c>
      <c r="AA39" s="14">
        <f t="shared" si="20"/>
        <v>225</v>
      </c>
    </row>
    <row r="40" spans="2:27">
      <c r="B40">
        <f t="shared" si="0"/>
        <v>38</v>
      </c>
      <c r="C40" s="2">
        <f>A!S42</f>
        <v>43975</v>
      </c>
      <c r="D40" s="1">
        <f>A!T42</f>
        <v>3926</v>
      </c>
      <c r="E40" s="1">
        <f>A!V42</f>
        <v>353467</v>
      </c>
      <c r="F40" s="13">
        <f>RANK(D40,D$3:D$50)</f>
        <v>39</v>
      </c>
      <c r="G40" s="13">
        <f>RANK(E40,E$3:E$50)</f>
        <v>43</v>
      </c>
      <c r="H40" s="13">
        <f t="shared" si="15"/>
        <v>-4</v>
      </c>
      <c r="I40" s="13">
        <f t="shared" si="16"/>
        <v>16</v>
      </c>
      <c r="K40">
        <f t="shared" si="5"/>
        <v>38</v>
      </c>
      <c r="L40" s="2">
        <f>A!S44</f>
        <v>43961</v>
      </c>
      <c r="M40" s="1">
        <f>A!V44</f>
        <v>403875</v>
      </c>
      <c r="N40" s="1">
        <f>A!W44</f>
        <v>162965.62204055442</v>
      </c>
      <c r="O40" s="13">
        <f>RANK(M40,M$3:M$42)</f>
        <v>34</v>
      </c>
      <c r="P40" s="13">
        <f>RANK(N40,N$3:N$42)</f>
        <v>4</v>
      </c>
      <c r="Q40" s="13">
        <f t="shared" si="17"/>
        <v>30</v>
      </c>
      <c r="R40" s="14">
        <f t="shared" si="18"/>
        <v>900</v>
      </c>
      <c r="T40">
        <f t="shared" si="10"/>
        <v>38</v>
      </c>
      <c r="U40" s="2">
        <f>A!S44</f>
        <v>43961</v>
      </c>
      <c r="V40" s="1">
        <f>A!V44</f>
        <v>403875</v>
      </c>
      <c r="W40" s="1">
        <f>A!X44</f>
        <v>434836.7173421316</v>
      </c>
      <c r="X40" s="13">
        <f>RANK(V40,V$3:V$42)</f>
        <v>34</v>
      </c>
      <c r="Y40" s="13">
        <f>RANK(W40,W$3:W$42)</f>
        <v>15</v>
      </c>
      <c r="Z40" s="13">
        <f t="shared" si="19"/>
        <v>19</v>
      </c>
      <c r="AA40" s="14">
        <f t="shared" si="20"/>
        <v>361</v>
      </c>
    </row>
    <row r="41" spans="2:27">
      <c r="B41">
        <f t="shared" si="0"/>
        <v>39</v>
      </c>
      <c r="C41" s="2">
        <f>A!S43</f>
        <v>43968</v>
      </c>
      <c r="D41" s="1">
        <f>A!T43</f>
        <v>5137</v>
      </c>
      <c r="E41" s="1">
        <f>A!V43</f>
        <v>432666</v>
      </c>
      <c r="F41" s="13">
        <f>RANK(D41,D$3:D$50)</f>
        <v>37</v>
      </c>
      <c r="G41" s="13">
        <f>RANK(E41,E$3:E$50)</f>
        <v>35</v>
      </c>
      <c r="H41" s="13">
        <f t="shared" si="15"/>
        <v>2</v>
      </c>
      <c r="I41" s="13">
        <f t="shared" si="16"/>
        <v>4</v>
      </c>
      <c r="K41">
        <f t="shared" si="5"/>
        <v>39</v>
      </c>
      <c r="L41" s="2">
        <f>A!S45</f>
        <v>43954</v>
      </c>
      <c r="M41" s="1">
        <f>A!V45</f>
        <v>326788</v>
      </c>
      <c r="N41" s="1">
        <f>A!W45</f>
        <v>196582.15628039968</v>
      </c>
      <c r="O41" s="13">
        <f>RANK(M41,M$3:M$42)</f>
        <v>40</v>
      </c>
      <c r="P41" s="13">
        <f>RANK(N41,N$3:N$42)</f>
        <v>1</v>
      </c>
      <c r="Q41" s="13">
        <f t="shared" si="17"/>
        <v>39</v>
      </c>
      <c r="R41" s="14">
        <f t="shared" si="18"/>
        <v>1521</v>
      </c>
      <c r="T41">
        <f t="shared" si="10"/>
        <v>39</v>
      </c>
      <c r="U41" s="2">
        <f>A!S45</f>
        <v>43954</v>
      </c>
      <c r="V41" s="1">
        <f>A!V45</f>
        <v>326788</v>
      </c>
      <c r="W41" s="1">
        <f>A!X45</f>
        <v>725152.98308652942</v>
      </c>
      <c r="X41" s="13">
        <f>RANK(V41,V$3:V$42)</f>
        <v>40</v>
      </c>
      <c r="Y41" s="13">
        <f>RANK(W41,W$3:W$42)</f>
        <v>13</v>
      </c>
      <c r="Z41" s="13">
        <f t="shared" si="19"/>
        <v>27</v>
      </c>
      <c r="AA41" s="14">
        <f t="shared" si="20"/>
        <v>729</v>
      </c>
    </row>
    <row r="42" spans="2:27">
      <c r="B42">
        <f t="shared" si="0"/>
        <v>40</v>
      </c>
      <c r="C42" s="2">
        <f>A!S44</f>
        <v>43961</v>
      </c>
      <c r="D42" s="1">
        <f>A!T44</f>
        <v>6722</v>
      </c>
      <c r="E42" s="1">
        <f>A!V44</f>
        <v>403875</v>
      </c>
      <c r="F42" s="13">
        <f>RANK(D42,D$3:D$50)</f>
        <v>35</v>
      </c>
      <c r="G42" s="13">
        <f>RANK(E42,E$3:E$50)</f>
        <v>38</v>
      </c>
      <c r="H42" s="13">
        <f t="shared" si="15"/>
        <v>-3</v>
      </c>
      <c r="I42" s="13">
        <f t="shared" si="16"/>
        <v>9</v>
      </c>
      <c r="K42">
        <f t="shared" si="5"/>
        <v>40</v>
      </c>
      <c r="L42" s="2">
        <f>A!S46</f>
        <v>43947</v>
      </c>
      <c r="M42" s="1">
        <f>A!V46</f>
        <v>363890</v>
      </c>
      <c r="N42" s="1">
        <f>A!W46</f>
        <v>30949.821669982066</v>
      </c>
      <c r="O42" s="13">
        <f>RANK(M42,M$3:M$42)</f>
        <v>36</v>
      </c>
      <c r="P42" s="13">
        <f>RANK(N42,N$3:N$42)</f>
        <v>21</v>
      </c>
      <c r="Q42" s="13">
        <f t="shared" si="17"/>
        <v>15</v>
      </c>
      <c r="R42" s="14">
        <f t="shared" si="18"/>
        <v>225</v>
      </c>
      <c r="T42">
        <f t="shared" si="10"/>
        <v>40</v>
      </c>
      <c r="U42" s="2">
        <f>A!S46</f>
        <v>43947</v>
      </c>
      <c r="V42" s="1">
        <f>A!V46</f>
        <v>363890</v>
      </c>
      <c r="W42" s="1">
        <f>A!X46</f>
        <v>117158.4956284174</v>
      </c>
      <c r="X42" s="13">
        <f>RANK(V42,V$3:V$42)</f>
        <v>36</v>
      </c>
      <c r="Y42" s="13">
        <f>RANK(W42,W$3:W$42)</f>
        <v>21</v>
      </c>
      <c r="Z42" s="13">
        <f t="shared" si="19"/>
        <v>15</v>
      </c>
      <c r="AA42" s="14">
        <f t="shared" si="20"/>
        <v>225</v>
      </c>
    </row>
    <row r="43" spans="2:27">
      <c r="B43">
        <f t="shared" si="0"/>
        <v>41</v>
      </c>
      <c r="C43" s="2">
        <f>A!S45</f>
        <v>43954</v>
      </c>
      <c r="D43" s="1">
        <f>A!T45</f>
        <v>8321</v>
      </c>
      <c r="E43" s="1">
        <f>A!V45</f>
        <v>326788</v>
      </c>
      <c r="F43" s="13">
        <f>RANK(D43,D$3:D$50)</f>
        <v>32</v>
      </c>
      <c r="G43" s="13">
        <f>RANK(E43,E$3:E$50)</f>
        <v>48</v>
      </c>
      <c r="H43" s="13">
        <f t="shared" si="15"/>
        <v>-16</v>
      </c>
      <c r="I43" s="13">
        <f t="shared" si="16"/>
        <v>256</v>
      </c>
      <c r="K43" s="1">
        <f>SUM(K3:K42)/K42</f>
        <v>20.5</v>
      </c>
      <c r="M43" s="1">
        <f>SUM(M3:M42)/K42</f>
        <v>937817.27500000002</v>
      </c>
      <c r="N43" s="1">
        <f>SUM(N3:N42)/K42</f>
        <v>58801.416917598595</v>
      </c>
      <c r="O43" s="1">
        <f>SUM(O3:O42)/K42</f>
        <v>20.5</v>
      </c>
      <c r="P43" s="1">
        <f>SUM(P3:P42)/K42</f>
        <v>20.5</v>
      </c>
      <c r="T43" s="1">
        <f>SUM(T3:T42)/T42</f>
        <v>20.5</v>
      </c>
      <c r="V43" s="1">
        <f>SUM(V3:V42)/T42</f>
        <v>937817.27500000002</v>
      </c>
      <c r="W43" s="1">
        <f>SUM(W3:W42)/T42</f>
        <v>1239311.5857581617</v>
      </c>
      <c r="X43" s="1">
        <f>SUM(X3:X42)/T42</f>
        <v>20.5</v>
      </c>
      <c r="Y43" s="1">
        <f>SUM(Y3:Y42)/T42</f>
        <v>20.5</v>
      </c>
    </row>
    <row r="44" spans="2:27">
      <c r="B44">
        <f t="shared" si="0"/>
        <v>42</v>
      </c>
      <c r="C44" s="2">
        <f>A!S46</f>
        <v>43947</v>
      </c>
      <c r="D44" s="1">
        <f>A!T46</f>
        <v>14278</v>
      </c>
      <c r="E44" s="1">
        <f>A!V46</f>
        <v>363890</v>
      </c>
      <c r="F44" s="13">
        <f>RANK(D44,D$3:D$50)</f>
        <v>25</v>
      </c>
      <c r="G44" s="13">
        <f>RANK(E44,E$3:E$50)</f>
        <v>41</v>
      </c>
      <c r="H44" s="13">
        <f t="shared" si="15"/>
        <v>-16</v>
      </c>
      <c r="I44" s="13">
        <f t="shared" si="16"/>
        <v>256</v>
      </c>
      <c r="L44" s="13"/>
      <c r="M44" s="12" t="s">
        <v>26</v>
      </c>
      <c r="N44" s="13">
        <f>1-(6*R44)/(K42^3-K42)</f>
        <v>-0.15196998123827399</v>
      </c>
      <c r="Q44" t="s">
        <v>24</v>
      </c>
      <c r="R44" s="1">
        <f>SUM(R3:R42)</f>
        <v>12280</v>
      </c>
      <c r="U44" s="13"/>
      <c r="V44" s="12" t="s">
        <v>26</v>
      </c>
      <c r="W44" s="13">
        <f>1-(6*AA44)/(T42^3-T42)</f>
        <v>0.39043151969981238</v>
      </c>
      <c r="Z44" t="s">
        <v>24</v>
      </c>
      <c r="AA44" s="1">
        <f>SUM(AA3:AA42)</f>
        <v>6498</v>
      </c>
    </row>
    <row r="45" spans="2:27">
      <c r="B45">
        <f t="shared" si="0"/>
        <v>43</v>
      </c>
      <c r="C45" s="2">
        <f>A!S47</f>
        <v>43940</v>
      </c>
      <c r="D45" s="1">
        <f>A!T47</f>
        <v>19418</v>
      </c>
      <c r="E45" s="1">
        <f>A!V47</f>
        <v>331902</v>
      </c>
      <c r="F45" s="13">
        <f>RANK(D45,D$3:D$50)</f>
        <v>23</v>
      </c>
      <c r="G45" s="13">
        <f>RANK(E45,E$3:E$50)</f>
        <v>46</v>
      </c>
      <c r="H45" s="13">
        <f t="shared" si="15"/>
        <v>-23</v>
      </c>
      <c r="I45" s="13">
        <f t="shared" si="16"/>
        <v>529</v>
      </c>
    </row>
    <row r="46" spans="2:27">
      <c r="B46">
        <f t="shared" si="0"/>
        <v>44</v>
      </c>
      <c r="C46" s="2">
        <f>A!S48</f>
        <v>43933</v>
      </c>
      <c r="D46" s="1">
        <f>A!T48</f>
        <v>28765</v>
      </c>
      <c r="E46" s="1">
        <f>A!V48</f>
        <v>380197</v>
      </c>
      <c r="F46" s="13">
        <f>RANK(D46,D$3:D$50)</f>
        <v>21</v>
      </c>
      <c r="G46" s="13">
        <f>RANK(E46,E$3:E$50)</f>
        <v>40</v>
      </c>
      <c r="H46" s="13">
        <f t="shared" si="15"/>
        <v>-19</v>
      </c>
      <c r="I46" s="13">
        <f t="shared" si="16"/>
        <v>361</v>
      </c>
    </row>
    <row r="47" spans="2:27">
      <c r="B47">
        <f t="shared" si="0"/>
        <v>45</v>
      </c>
      <c r="C47" s="2">
        <f>A!S49</f>
        <v>43926</v>
      </c>
      <c r="D47" s="1">
        <f>A!T49</f>
        <v>39167</v>
      </c>
      <c r="E47" s="1">
        <f>A!V49</f>
        <v>408348</v>
      </c>
      <c r="F47" s="13">
        <f>RANK(D47,D$3:D$50)</f>
        <v>18</v>
      </c>
      <c r="G47" s="13">
        <f>RANK(E47,E$3:E$50)</f>
        <v>36</v>
      </c>
      <c r="H47" s="13">
        <f t="shared" si="15"/>
        <v>-18</v>
      </c>
      <c r="I47" s="13">
        <f t="shared" si="16"/>
        <v>324</v>
      </c>
    </row>
    <row r="48" spans="2:27">
      <c r="B48">
        <f t="shared" si="0"/>
        <v>46</v>
      </c>
      <c r="C48" s="2">
        <f>A!S50</f>
        <v>43919</v>
      </c>
      <c r="D48" s="1">
        <f>A!T50</f>
        <v>33937</v>
      </c>
      <c r="E48" s="1">
        <f>A!V50</f>
        <v>361515</v>
      </c>
      <c r="F48" s="13">
        <f>RANK(D48,D$3:D$50)</f>
        <v>20</v>
      </c>
      <c r="G48" s="13">
        <f>RANK(E48,E$3:E$50)</f>
        <v>42</v>
      </c>
      <c r="H48" s="13">
        <f t="shared" si="15"/>
        <v>-22</v>
      </c>
      <c r="I48" s="13">
        <f t="shared" si="16"/>
        <v>484</v>
      </c>
    </row>
    <row r="49" spans="2:27">
      <c r="B49">
        <f t="shared" si="0"/>
        <v>47</v>
      </c>
      <c r="C49" s="2">
        <f>A!S51</f>
        <v>43912</v>
      </c>
      <c r="D49" s="1">
        <f>A!T51</f>
        <v>13772</v>
      </c>
      <c r="E49" s="1">
        <f>A!V51</f>
        <v>348619</v>
      </c>
      <c r="F49" s="13">
        <f>RANK(D49,D$3:D$50)</f>
        <v>26</v>
      </c>
      <c r="G49" s="13">
        <f>RANK(E49,E$3:E$50)</f>
        <v>44</v>
      </c>
      <c r="H49" s="13">
        <f t="shared" si="15"/>
        <v>-18</v>
      </c>
      <c r="I49" s="13">
        <f t="shared" si="16"/>
        <v>324</v>
      </c>
    </row>
    <row r="50" spans="2:27">
      <c r="B50" s="1">
        <f>SUM(B3:B49)/B49</f>
        <v>24</v>
      </c>
      <c r="D50" s="1">
        <f>SUM(D3:D49)/B49</f>
        <v>48493.021276595748</v>
      </c>
      <c r="E50" s="1">
        <f>SUM(E3:E49)/B49</f>
        <v>883117.06382978719</v>
      </c>
      <c r="F50" s="1">
        <f>SUM(F3:F49)/B49</f>
        <v>24.659574468085108</v>
      </c>
      <c r="G50" s="1">
        <f>SUM(G3:G49)/B49</f>
        <v>24.48936170212766</v>
      </c>
    </row>
    <row r="51" spans="2:27">
      <c r="C51" s="13"/>
      <c r="D51" s="12" t="s">
        <v>26</v>
      </c>
      <c r="E51" s="13">
        <f>1-(6*I51)/(B49^3-B49)</f>
        <v>0.6756475485661424</v>
      </c>
      <c r="H51" t="s">
        <v>24</v>
      </c>
      <c r="I51" s="1">
        <f>SUM(I3:I49)</f>
        <v>5610</v>
      </c>
    </row>
    <row r="52" spans="2:27">
      <c r="C52" s="2"/>
      <c r="D52" s="12"/>
    </row>
    <row r="54" spans="2:27">
      <c r="B54" t="s">
        <v>27</v>
      </c>
    </row>
    <row r="55" spans="2:27">
      <c r="B55">
        <v>1</v>
      </c>
      <c r="C55" s="2">
        <f t="shared" ref="C55:E55" si="21">C29</f>
        <v>44052</v>
      </c>
      <c r="D55" s="1">
        <f t="shared" si="21"/>
        <v>5998</v>
      </c>
      <c r="E55" s="1">
        <f t="shared" si="21"/>
        <v>716768</v>
      </c>
      <c r="F55" s="13">
        <f t="shared" ref="F55:F56" si="22">RANK(D55,D$55:D$75)</f>
        <v>9</v>
      </c>
      <c r="G55" s="13">
        <f t="shared" ref="G55:G56" si="23">RANK(E55,E$55:E$75)</f>
        <v>1</v>
      </c>
      <c r="H55" s="13">
        <f t="shared" ref="H55:H56" si="24">F55-G55</f>
        <v>8</v>
      </c>
      <c r="I55" s="13">
        <f t="shared" ref="I55:I56" si="25">H55^2</f>
        <v>64</v>
      </c>
      <c r="K55">
        <v>1</v>
      </c>
      <c r="L55" s="2">
        <f t="shared" ref="L55:N55" si="26">L27</f>
        <v>44052</v>
      </c>
      <c r="M55" s="1">
        <f t="shared" si="26"/>
        <v>716768</v>
      </c>
      <c r="N55" s="1">
        <f t="shared" si="26"/>
        <v>17552.491722395011</v>
      </c>
      <c r="O55" s="13">
        <f t="shared" ref="O55:O56" si="27">RANK(M55,M$55:M$70)</f>
        <v>1</v>
      </c>
      <c r="P55" s="13">
        <f t="shared" ref="P55:P56" si="28">RANK(N55,N$55:N$70)</f>
        <v>16</v>
      </c>
      <c r="Q55" s="13">
        <f t="shared" ref="Q55:Q56" si="29">O55-P55</f>
        <v>-15</v>
      </c>
      <c r="R55" s="13">
        <f t="shared" ref="R55:R56" si="30">Q55^2</f>
        <v>225</v>
      </c>
      <c r="T55">
        <v>1</v>
      </c>
      <c r="U55" s="2">
        <f t="shared" ref="U55:W55" si="31">U27</f>
        <v>44052</v>
      </c>
      <c r="V55" s="1">
        <f t="shared" si="31"/>
        <v>716768</v>
      </c>
      <c r="W55" s="1">
        <f t="shared" si="31"/>
        <v>14486.59173120034</v>
      </c>
      <c r="X55" s="13">
        <f t="shared" ref="X55:X56" si="32">RANK(V55,V$55:V$70)</f>
        <v>1</v>
      </c>
      <c r="Y55" s="13">
        <f t="shared" ref="Y55:Y56" si="33">RANK(W55,W$55:W$70)</f>
        <v>16</v>
      </c>
      <c r="Z55" s="13">
        <f t="shared" ref="Z55:Z56" si="34">X55-Y55</f>
        <v>-15</v>
      </c>
      <c r="AA55" s="13">
        <f t="shared" ref="AA55:AA56" si="35">Z55^2</f>
        <v>225</v>
      </c>
    </row>
    <row r="56" spans="2:27">
      <c r="B56">
        <f t="shared" ref="B56:B75" si="36">B55+1</f>
        <v>2</v>
      </c>
      <c r="C56" s="2">
        <f t="shared" ref="C56:E56" si="37">C30</f>
        <v>44045</v>
      </c>
      <c r="D56" s="1">
        <f t="shared" si="37"/>
        <v>4624</v>
      </c>
      <c r="E56" s="1">
        <f t="shared" si="37"/>
        <v>586620</v>
      </c>
      <c r="F56" s="13">
        <f t="shared" si="22"/>
        <v>11</v>
      </c>
      <c r="G56" s="13">
        <f t="shared" si="23"/>
        <v>2</v>
      </c>
      <c r="H56" s="13">
        <f t="shared" si="24"/>
        <v>9</v>
      </c>
      <c r="I56" s="13">
        <f t="shared" si="25"/>
        <v>81</v>
      </c>
      <c r="K56">
        <f t="shared" ref="K56:K70" si="38">K55+1</f>
        <v>2</v>
      </c>
      <c r="L56" s="2">
        <f t="shared" ref="L56:N56" si="39">L28</f>
        <v>44045</v>
      </c>
      <c r="M56" s="1">
        <f t="shared" si="39"/>
        <v>586620</v>
      </c>
      <c r="N56" s="1">
        <f t="shared" si="39"/>
        <v>19631.023173067511</v>
      </c>
      <c r="O56" s="13">
        <f t="shared" si="27"/>
        <v>2</v>
      </c>
      <c r="P56" s="13">
        <f t="shared" si="28"/>
        <v>15</v>
      </c>
      <c r="Q56" s="13">
        <f t="shared" si="29"/>
        <v>-13</v>
      </c>
      <c r="R56" s="13">
        <f t="shared" si="30"/>
        <v>169</v>
      </c>
      <c r="T56">
        <f t="shared" ref="T56:T70" si="40">T55+1</f>
        <v>2</v>
      </c>
      <c r="U56" s="2">
        <f t="shared" ref="U56:W56" si="41">U28</f>
        <v>44045</v>
      </c>
      <c r="V56" s="1">
        <f t="shared" si="41"/>
        <v>586620</v>
      </c>
      <c r="W56" s="1">
        <f t="shared" si="41"/>
        <v>16516.622847588547</v>
      </c>
      <c r="X56" s="13">
        <f t="shared" si="32"/>
        <v>2</v>
      </c>
      <c r="Y56" s="13">
        <f t="shared" si="33"/>
        <v>15</v>
      </c>
      <c r="Z56" s="13">
        <f t="shared" si="34"/>
        <v>-13</v>
      </c>
      <c r="AA56" s="13">
        <f t="shared" si="35"/>
        <v>169</v>
      </c>
    </row>
    <row r="57" spans="2:27">
      <c r="B57">
        <f t="shared" si="36"/>
        <v>3</v>
      </c>
      <c r="C57" s="2">
        <f t="shared" ref="C57:E57" si="42">C31</f>
        <v>44038</v>
      </c>
      <c r="D57" s="1">
        <f t="shared" si="42"/>
        <v>3695</v>
      </c>
      <c r="E57" s="1">
        <f t="shared" si="42"/>
        <v>574883</v>
      </c>
      <c r="F57" s="13">
        <f t="shared" ref="F57:F75" si="43">RANK(D57,D$55:D$75)</f>
        <v>13</v>
      </c>
      <c r="G57" s="13">
        <f t="shared" ref="G57:G75" si="44">RANK(E57,E$55:E$75)</f>
        <v>3</v>
      </c>
      <c r="H57" s="13">
        <f t="shared" ref="H57:H75" si="45">F57-G57</f>
        <v>10</v>
      </c>
      <c r="I57" s="13">
        <f t="shared" ref="I57:I75" si="46">H57^2</f>
        <v>100</v>
      </c>
      <c r="K57">
        <f t="shared" si="38"/>
        <v>3</v>
      </c>
      <c r="L57" s="2">
        <f>L29</f>
        <v>44038</v>
      </c>
      <c r="M57" s="1">
        <f>M29</f>
        <v>574883</v>
      </c>
      <c r="N57" s="1">
        <f>N29</f>
        <v>20853.686062881861</v>
      </c>
      <c r="O57" s="13">
        <f t="shared" ref="O57:O70" si="47">RANK(M57,M$55:M$70)</f>
        <v>3</v>
      </c>
      <c r="P57" s="13">
        <f t="shared" ref="P57:P70" si="48">RANK(N57,N$55:N$70)</f>
        <v>14</v>
      </c>
      <c r="Q57" s="13">
        <f t="shared" ref="Q57:Q70" si="49">O57-P57</f>
        <v>-11</v>
      </c>
      <c r="R57" s="13">
        <f t="shared" ref="R57:R70" si="50">Q57^2</f>
        <v>121</v>
      </c>
      <c r="T57">
        <f t="shared" si="40"/>
        <v>3</v>
      </c>
      <c r="U57" s="2">
        <f>U29</f>
        <v>44038</v>
      </c>
      <c r="V57" s="1">
        <f>V29</f>
        <v>574883</v>
      </c>
      <c r="W57" s="1">
        <f>W29</f>
        <v>22633.412029674077</v>
      </c>
      <c r="X57" s="13">
        <f t="shared" ref="X57:X70" si="51">RANK(V57,V$55:V$70)</f>
        <v>3</v>
      </c>
      <c r="Y57" s="13">
        <f t="shared" ref="Y57:Y70" si="52">RANK(W57,W$55:W$70)</f>
        <v>11</v>
      </c>
      <c r="Z57" s="13">
        <f t="shared" ref="Z57:Z70" si="53">X57-Y57</f>
        <v>-8</v>
      </c>
      <c r="AA57" s="13">
        <f t="shared" ref="AA57:AA70" si="54">Z57^2</f>
        <v>64</v>
      </c>
    </row>
    <row r="58" spans="2:27">
      <c r="B58">
        <f t="shared" si="36"/>
        <v>4</v>
      </c>
      <c r="C58" s="2">
        <f t="shared" ref="C58:E58" si="55">C32</f>
        <v>44031</v>
      </c>
      <c r="D58" s="1">
        <f t="shared" si="55"/>
        <v>2770</v>
      </c>
      <c r="E58" s="1">
        <f t="shared" si="55"/>
        <v>538701</v>
      </c>
      <c r="F58" s="13">
        <f t="shared" si="43"/>
        <v>18</v>
      </c>
      <c r="G58" s="13">
        <f t="shared" si="44"/>
        <v>4</v>
      </c>
      <c r="H58" s="13">
        <f t="shared" si="45"/>
        <v>14</v>
      </c>
      <c r="I58" s="13">
        <f t="shared" si="46"/>
        <v>196</v>
      </c>
      <c r="K58">
        <f t="shared" si="38"/>
        <v>4</v>
      </c>
      <c r="L58" s="2">
        <f t="shared" ref="L58:N58" si="56">L30</f>
        <v>44031</v>
      </c>
      <c r="M58" s="1">
        <f t="shared" si="56"/>
        <v>538701</v>
      </c>
      <c r="N58" s="1">
        <f t="shared" si="56"/>
        <v>21492.950548751414</v>
      </c>
      <c r="O58" s="13">
        <f t="shared" si="47"/>
        <v>4</v>
      </c>
      <c r="P58" s="13">
        <f t="shared" si="48"/>
        <v>13</v>
      </c>
      <c r="Q58" s="13">
        <f t="shared" si="49"/>
        <v>-9</v>
      </c>
      <c r="R58" s="13">
        <f t="shared" si="50"/>
        <v>81</v>
      </c>
      <c r="T58">
        <f t="shared" si="40"/>
        <v>4</v>
      </c>
      <c r="U58" s="2">
        <f t="shared" ref="U58:W58" si="57">U30</f>
        <v>44031</v>
      </c>
      <c r="V58" s="1">
        <f t="shared" si="57"/>
        <v>538701</v>
      </c>
      <c r="W58" s="1">
        <f t="shared" si="57"/>
        <v>16915.332592432602</v>
      </c>
      <c r="X58" s="13">
        <f t="shared" si="51"/>
        <v>4</v>
      </c>
      <c r="Y58" s="13">
        <f t="shared" si="52"/>
        <v>14</v>
      </c>
      <c r="Z58" s="13">
        <f t="shared" si="53"/>
        <v>-10</v>
      </c>
      <c r="AA58" s="13">
        <f t="shared" si="54"/>
        <v>100</v>
      </c>
    </row>
    <row r="59" spans="2:27">
      <c r="B59">
        <f t="shared" si="36"/>
        <v>5</v>
      </c>
      <c r="C59" s="2">
        <f t="shared" ref="C59:E59" si="58">C33</f>
        <v>44024</v>
      </c>
      <c r="D59" s="1">
        <f t="shared" si="58"/>
        <v>2469</v>
      </c>
      <c r="E59" s="1">
        <f t="shared" si="58"/>
        <v>510551</v>
      </c>
      <c r="F59" s="13">
        <f t="shared" si="43"/>
        <v>20</v>
      </c>
      <c r="G59" s="13">
        <f t="shared" si="44"/>
        <v>5</v>
      </c>
      <c r="H59" s="13">
        <f t="shared" si="45"/>
        <v>15</v>
      </c>
      <c r="I59" s="13">
        <f t="shared" si="46"/>
        <v>225</v>
      </c>
      <c r="K59">
        <f t="shared" si="38"/>
        <v>5</v>
      </c>
      <c r="L59" s="2">
        <f t="shared" ref="L59:N59" si="59">L31</f>
        <v>44024</v>
      </c>
      <c r="M59" s="1">
        <f t="shared" si="59"/>
        <v>510551</v>
      </c>
      <c r="N59" s="1">
        <f t="shared" si="59"/>
        <v>24004.385099205123</v>
      </c>
      <c r="O59" s="13">
        <f t="shared" si="47"/>
        <v>5</v>
      </c>
      <c r="P59" s="13">
        <f t="shared" si="48"/>
        <v>12</v>
      </c>
      <c r="Q59" s="13">
        <f t="shared" si="49"/>
        <v>-7</v>
      </c>
      <c r="R59" s="13">
        <f t="shared" si="50"/>
        <v>49</v>
      </c>
      <c r="T59">
        <f t="shared" si="40"/>
        <v>5</v>
      </c>
      <c r="U59" s="2">
        <f t="shared" ref="U59:W59" si="60">U31</f>
        <v>44024</v>
      </c>
      <c r="V59" s="1">
        <f t="shared" si="60"/>
        <v>510551</v>
      </c>
      <c r="W59" s="1">
        <f t="shared" si="60"/>
        <v>18895.990314841951</v>
      </c>
      <c r="X59" s="13">
        <f t="shared" si="51"/>
        <v>5</v>
      </c>
      <c r="Y59" s="13">
        <f t="shared" si="52"/>
        <v>12</v>
      </c>
      <c r="Z59" s="13">
        <f t="shared" si="53"/>
        <v>-7</v>
      </c>
      <c r="AA59" s="13">
        <f t="shared" si="54"/>
        <v>49</v>
      </c>
    </row>
    <row r="60" spans="2:27">
      <c r="B60">
        <f t="shared" si="36"/>
        <v>6</v>
      </c>
      <c r="C60" s="2">
        <f t="shared" ref="C60:E60" si="61">C34</f>
        <v>44017</v>
      </c>
      <c r="D60" s="1">
        <f t="shared" si="61"/>
        <v>2836</v>
      </c>
      <c r="E60" s="1">
        <f t="shared" si="61"/>
        <v>507663</v>
      </c>
      <c r="F60" s="13">
        <f t="shared" si="43"/>
        <v>17</v>
      </c>
      <c r="G60" s="13">
        <f t="shared" si="44"/>
        <v>6</v>
      </c>
      <c r="H60" s="13">
        <f t="shared" si="45"/>
        <v>11</v>
      </c>
      <c r="I60" s="13">
        <f t="shared" si="46"/>
        <v>121</v>
      </c>
      <c r="K60">
        <f t="shared" si="38"/>
        <v>6</v>
      </c>
      <c r="L60" s="2">
        <f t="shared" ref="L60:N60" si="62">L32</f>
        <v>44017</v>
      </c>
      <c r="M60" s="1">
        <f t="shared" si="62"/>
        <v>507663</v>
      </c>
      <c r="N60" s="1">
        <f t="shared" si="62"/>
        <v>26664.245243013229</v>
      </c>
      <c r="O60" s="13">
        <f t="shared" si="47"/>
        <v>6</v>
      </c>
      <c r="P60" s="13">
        <f t="shared" si="48"/>
        <v>11</v>
      </c>
      <c r="Q60" s="13">
        <f t="shared" si="49"/>
        <v>-5</v>
      </c>
      <c r="R60" s="13">
        <f t="shared" si="50"/>
        <v>25</v>
      </c>
      <c r="T60">
        <f t="shared" si="40"/>
        <v>6</v>
      </c>
      <c r="U60" s="2">
        <f t="shared" ref="U60:W60" si="63">U32</f>
        <v>44017</v>
      </c>
      <c r="V60" s="1">
        <f t="shared" si="63"/>
        <v>507663</v>
      </c>
      <c r="W60" s="1">
        <f t="shared" si="63"/>
        <v>17958.362535783701</v>
      </c>
      <c r="X60" s="13">
        <f t="shared" si="51"/>
        <v>6</v>
      </c>
      <c r="Y60" s="13">
        <f t="shared" si="52"/>
        <v>13</v>
      </c>
      <c r="Z60" s="13">
        <f t="shared" si="53"/>
        <v>-7</v>
      </c>
      <c r="AA60" s="13">
        <f t="shared" si="54"/>
        <v>49</v>
      </c>
    </row>
    <row r="61" spans="2:27">
      <c r="B61">
        <f t="shared" si="36"/>
        <v>7</v>
      </c>
      <c r="C61" s="2">
        <f t="shared" ref="C61:E61" si="64">C35</f>
        <v>44010</v>
      </c>
      <c r="D61" s="1">
        <f t="shared" si="64"/>
        <v>3677</v>
      </c>
      <c r="E61" s="1">
        <f t="shared" si="64"/>
        <v>467413</v>
      </c>
      <c r="F61" s="13">
        <f t="shared" si="43"/>
        <v>14</v>
      </c>
      <c r="G61" s="13">
        <f t="shared" si="44"/>
        <v>7</v>
      </c>
      <c r="H61" s="13">
        <f t="shared" si="45"/>
        <v>7</v>
      </c>
      <c r="I61" s="13">
        <f t="shared" si="46"/>
        <v>49</v>
      </c>
      <c r="K61">
        <f t="shared" si="38"/>
        <v>7</v>
      </c>
      <c r="L61" s="2">
        <f t="shared" ref="L61:N61" si="65">L33</f>
        <v>44010</v>
      </c>
      <c r="M61" s="1">
        <f t="shared" si="65"/>
        <v>467413</v>
      </c>
      <c r="N61" s="1">
        <f t="shared" si="65"/>
        <v>30533.066118847353</v>
      </c>
      <c r="O61" s="13">
        <f t="shared" si="47"/>
        <v>7</v>
      </c>
      <c r="P61" s="13">
        <f t="shared" si="48"/>
        <v>10</v>
      </c>
      <c r="Q61" s="13">
        <f t="shared" si="49"/>
        <v>-3</v>
      </c>
      <c r="R61" s="13">
        <f t="shared" si="50"/>
        <v>9</v>
      </c>
      <c r="T61">
        <f t="shared" si="40"/>
        <v>7</v>
      </c>
      <c r="U61" s="2">
        <f t="shared" ref="U61:W61" si="66">U33</f>
        <v>44010</v>
      </c>
      <c r="V61" s="1">
        <f t="shared" si="66"/>
        <v>467413</v>
      </c>
      <c r="W61" s="1">
        <f t="shared" si="66"/>
        <v>29553.668579533227</v>
      </c>
      <c r="X61" s="13">
        <f t="shared" si="51"/>
        <v>7</v>
      </c>
      <c r="Y61" s="13">
        <f t="shared" si="52"/>
        <v>10</v>
      </c>
      <c r="Z61" s="13">
        <f t="shared" si="53"/>
        <v>-3</v>
      </c>
      <c r="AA61" s="13">
        <f t="shared" si="54"/>
        <v>9</v>
      </c>
    </row>
    <row r="62" spans="2:27">
      <c r="B62">
        <f t="shared" si="36"/>
        <v>8</v>
      </c>
      <c r="C62" s="2">
        <f t="shared" ref="C62:E62" si="67">C36</f>
        <v>44003</v>
      </c>
      <c r="D62" s="1">
        <f t="shared" si="67"/>
        <v>3553</v>
      </c>
      <c r="E62" s="1">
        <f t="shared" si="67"/>
        <v>388187</v>
      </c>
      <c r="F62" s="13">
        <f t="shared" si="43"/>
        <v>15</v>
      </c>
      <c r="G62" s="13">
        <f t="shared" si="44"/>
        <v>12</v>
      </c>
      <c r="H62" s="13">
        <f t="shared" si="45"/>
        <v>3</v>
      </c>
      <c r="I62" s="13">
        <f t="shared" si="46"/>
        <v>9</v>
      </c>
      <c r="K62">
        <f t="shared" si="38"/>
        <v>8</v>
      </c>
      <c r="L62" s="2">
        <f t="shared" ref="L62:N62" si="68">L34</f>
        <v>44003</v>
      </c>
      <c r="M62" s="1">
        <f t="shared" si="68"/>
        <v>388187</v>
      </c>
      <c r="N62" s="1">
        <f t="shared" si="68"/>
        <v>38750.791927230268</v>
      </c>
      <c r="O62" s="13">
        <f t="shared" si="47"/>
        <v>11</v>
      </c>
      <c r="P62" s="13">
        <f t="shared" si="48"/>
        <v>8</v>
      </c>
      <c r="Q62" s="13">
        <f t="shared" si="49"/>
        <v>3</v>
      </c>
      <c r="R62" s="13">
        <f t="shared" si="50"/>
        <v>9</v>
      </c>
      <c r="T62">
        <f t="shared" si="40"/>
        <v>8</v>
      </c>
      <c r="U62" s="2">
        <f t="shared" ref="U62:W62" si="69">U34</f>
        <v>44003</v>
      </c>
      <c r="V62" s="1">
        <f t="shared" si="69"/>
        <v>388187</v>
      </c>
      <c r="W62" s="1">
        <f t="shared" si="69"/>
        <v>37936.990529911207</v>
      </c>
      <c r="X62" s="13">
        <f t="shared" si="51"/>
        <v>11</v>
      </c>
      <c r="Y62" s="13">
        <f t="shared" si="52"/>
        <v>9</v>
      </c>
      <c r="Z62" s="13">
        <f t="shared" si="53"/>
        <v>2</v>
      </c>
      <c r="AA62" s="13">
        <f t="shared" si="54"/>
        <v>4</v>
      </c>
    </row>
    <row r="63" spans="2:27">
      <c r="B63">
        <f t="shared" si="36"/>
        <v>9</v>
      </c>
      <c r="C63" s="2">
        <f t="shared" ref="C63:E63" si="70">C37</f>
        <v>43996</v>
      </c>
      <c r="D63" s="1">
        <f t="shared" si="70"/>
        <v>2472</v>
      </c>
      <c r="E63" s="1">
        <f t="shared" si="70"/>
        <v>327196</v>
      </c>
      <c r="F63" s="13">
        <f t="shared" si="43"/>
        <v>19</v>
      </c>
      <c r="G63" s="13">
        <f t="shared" si="44"/>
        <v>20</v>
      </c>
      <c r="H63" s="13">
        <f t="shared" si="45"/>
        <v>-1</v>
      </c>
      <c r="I63" s="13">
        <f t="shared" si="46"/>
        <v>1</v>
      </c>
      <c r="K63">
        <f t="shared" si="38"/>
        <v>9</v>
      </c>
      <c r="L63" s="2">
        <f t="shared" ref="L63:N63" si="71">L35</f>
        <v>43996</v>
      </c>
      <c r="M63" s="1">
        <f t="shared" si="71"/>
        <v>327196</v>
      </c>
      <c r="N63" s="1">
        <f t="shared" si="71"/>
        <v>46725.396617901504</v>
      </c>
      <c r="O63" s="13">
        <f t="shared" si="47"/>
        <v>15</v>
      </c>
      <c r="P63" s="13">
        <f t="shared" si="48"/>
        <v>7</v>
      </c>
      <c r="Q63" s="13">
        <f t="shared" si="49"/>
        <v>8</v>
      </c>
      <c r="R63" s="13">
        <f t="shared" si="50"/>
        <v>64</v>
      </c>
      <c r="T63">
        <f t="shared" si="40"/>
        <v>9</v>
      </c>
      <c r="U63" s="2">
        <f t="shared" ref="U63:W63" si="72">U35</f>
        <v>43996</v>
      </c>
      <c r="V63" s="1">
        <f t="shared" si="72"/>
        <v>327196</v>
      </c>
      <c r="W63" s="1">
        <f t="shared" si="72"/>
        <v>67151.681302133395</v>
      </c>
      <c r="X63" s="13">
        <f t="shared" si="51"/>
        <v>15</v>
      </c>
      <c r="Y63" s="13">
        <f t="shared" si="52"/>
        <v>8</v>
      </c>
      <c r="Z63" s="13">
        <f t="shared" si="53"/>
        <v>7</v>
      </c>
      <c r="AA63" s="13">
        <f t="shared" si="54"/>
        <v>49</v>
      </c>
    </row>
    <row r="64" spans="2:27">
      <c r="B64">
        <f t="shared" si="36"/>
        <v>10</v>
      </c>
      <c r="C64" s="2">
        <f t="shared" ref="C64:E64" si="73">C38</f>
        <v>43989</v>
      </c>
      <c r="D64" s="1">
        <f t="shared" si="73"/>
        <v>2315</v>
      </c>
      <c r="E64" s="1">
        <f t="shared" si="73"/>
        <v>340986</v>
      </c>
      <c r="F64" s="13">
        <f t="shared" si="43"/>
        <v>21</v>
      </c>
      <c r="G64" s="13">
        <f t="shared" si="44"/>
        <v>18</v>
      </c>
      <c r="H64" s="13">
        <f t="shared" si="45"/>
        <v>3</v>
      </c>
      <c r="I64" s="13">
        <f t="shared" si="46"/>
        <v>9</v>
      </c>
      <c r="K64">
        <f t="shared" si="38"/>
        <v>10</v>
      </c>
      <c r="L64" s="2">
        <f t="shared" ref="L64:N64" si="74">L36</f>
        <v>43989</v>
      </c>
      <c r="M64" s="1">
        <f t="shared" si="74"/>
        <v>340986</v>
      </c>
      <c r="N64" s="1">
        <f t="shared" si="74"/>
        <v>58133.640302557025</v>
      </c>
      <c r="O64" s="13">
        <f t="shared" si="47"/>
        <v>14</v>
      </c>
      <c r="P64" s="13">
        <f t="shared" si="48"/>
        <v>6</v>
      </c>
      <c r="Q64" s="13">
        <f t="shared" si="49"/>
        <v>8</v>
      </c>
      <c r="R64" s="13">
        <f t="shared" si="50"/>
        <v>64</v>
      </c>
      <c r="T64">
        <f t="shared" si="40"/>
        <v>10</v>
      </c>
      <c r="U64" s="2">
        <f t="shared" ref="U64:W64" si="75">U36</f>
        <v>43989</v>
      </c>
      <c r="V64" s="1">
        <f t="shared" si="75"/>
        <v>340986</v>
      </c>
      <c r="W64" s="1">
        <f t="shared" si="75"/>
        <v>94766.59625845043</v>
      </c>
      <c r="X64" s="13">
        <f t="shared" si="51"/>
        <v>14</v>
      </c>
      <c r="Y64" s="13">
        <f t="shared" si="52"/>
        <v>7</v>
      </c>
      <c r="Z64" s="13">
        <f t="shared" si="53"/>
        <v>7</v>
      </c>
      <c r="AA64" s="13">
        <f t="shared" si="54"/>
        <v>49</v>
      </c>
    </row>
    <row r="65" spans="2:27">
      <c r="B65">
        <f t="shared" si="36"/>
        <v>11</v>
      </c>
      <c r="C65" s="2">
        <f t="shared" ref="C65:E65" si="76">C39</f>
        <v>43982</v>
      </c>
      <c r="D65" s="1">
        <f t="shared" si="76"/>
        <v>3201</v>
      </c>
      <c r="E65" s="1">
        <f t="shared" si="76"/>
        <v>405269</v>
      </c>
      <c r="F65" s="13">
        <f t="shared" si="43"/>
        <v>16</v>
      </c>
      <c r="G65" s="13">
        <f t="shared" si="44"/>
        <v>10</v>
      </c>
      <c r="H65" s="13">
        <f t="shared" si="45"/>
        <v>6</v>
      </c>
      <c r="I65" s="13">
        <f t="shared" si="46"/>
        <v>36</v>
      </c>
      <c r="K65">
        <f t="shared" si="38"/>
        <v>11</v>
      </c>
      <c r="L65" s="2">
        <f t="shared" ref="L65:N65" si="77">L37</f>
        <v>43982</v>
      </c>
      <c r="M65" s="1">
        <f t="shared" si="77"/>
        <v>405269</v>
      </c>
      <c r="N65" s="1">
        <f t="shared" si="77"/>
        <v>73644.501449201271</v>
      </c>
      <c r="O65" s="13">
        <f t="shared" si="47"/>
        <v>9</v>
      </c>
      <c r="P65" s="13">
        <f t="shared" si="48"/>
        <v>5</v>
      </c>
      <c r="Q65" s="13">
        <f t="shared" si="49"/>
        <v>4</v>
      </c>
      <c r="R65" s="13">
        <f t="shared" si="50"/>
        <v>16</v>
      </c>
      <c r="T65">
        <f t="shared" si="40"/>
        <v>11</v>
      </c>
      <c r="U65" s="2">
        <f t="shared" ref="U65:W65" si="78">U37</f>
        <v>43982</v>
      </c>
      <c r="V65" s="1">
        <f t="shared" si="78"/>
        <v>405269</v>
      </c>
      <c r="W65" s="1">
        <f t="shared" si="78"/>
        <v>151973.84632687937</v>
      </c>
      <c r="X65" s="13">
        <f t="shared" si="51"/>
        <v>9</v>
      </c>
      <c r="Y65" s="13">
        <f t="shared" si="52"/>
        <v>5</v>
      </c>
      <c r="Z65" s="13">
        <f t="shared" si="53"/>
        <v>4</v>
      </c>
      <c r="AA65" s="13">
        <f t="shared" si="54"/>
        <v>16</v>
      </c>
    </row>
    <row r="66" spans="2:27">
      <c r="B66">
        <f t="shared" si="36"/>
        <v>12</v>
      </c>
      <c r="C66" s="2">
        <f t="shared" ref="C66:E66" si="79">C40</f>
        <v>43975</v>
      </c>
      <c r="D66" s="1">
        <f t="shared" si="79"/>
        <v>3926</v>
      </c>
      <c r="E66" s="1">
        <f t="shared" si="79"/>
        <v>353467</v>
      </c>
      <c r="F66" s="13">
        <f t="shared" si="43"/>
        <v>12</v>
      </c>
      <c r="G66" s="13">
        <f t="shared" si="44"/>
        <v>16</v>
      </c>
      <c r="H66" s="13">
        <f t="shared" si="45"/>
        <v>-4</v>
      </c>
      <c r="I66" s="13">
        <f t="shared" si="46"/>
        <v>16</v>
      </c>
      <c r="K66">
        <f t="shared" si="38"/>
        <v>12</v>
      </c>
      <c r="L66" s="2">
        <f t="shared" ref="L66:N66" si="80">L38</f>
        <v>43975</v>
      </c>
      <c r="M66" s="1">
        <f t="shared" si="80"/>
        <v>353467</v>
      </c>
      <c r="N66" s="1">
        <f t="shared" si="80"/>
        <v>96748.401153824103</v>
      </c>
      <c r="O66" s="13">
        <f t="shared" si="47"/>
        <v>13</v>
      </c>
      <c r="P66" s="13">
        <f t="shared" si="48"/>
        <v>4</v>
      </c>
      <c r="Q66" s="13">
        <f t="shared" si="49"/>
        <v>9</v>
      </c>
      <c r="R66" s="13">
        <f t="shared" si="50"/>
        <v>81</v>
      </c>
      <c r="T66">
        <f t="shared" si="40"/>
        <v>12</v>
      </c>
      <c r="U66" s="2">
        <f t="shared" ref="U66:W66" si="81">U38</f>
        <v>43975</v>
      </c>
      <c r="V66" s="1">
        <f t="shared" si="81"/>
        <v>353467</v>
      </c>
      <c r="W66" s="1">
        <f t="shared" si="81"/>
        <v>179787.54217945822</v>
      </c>
      <c r="X66" s="13">
        <f t="shared" si="51"/>
        <v>13</v>
      </c>
      <c r="Y66" s="13">
        <f t="shared" si="52"/>
        <v>4</v>
      </c>
      <c r="Z66" s="13">
        <f t="shared" si="53"/>
        <v>9</v>
      </c>
      <c r="AA66" s="13">
        <f t="shared" si="54"/>
        <v>81</v>
      </c>
    </row>
    <row r="67" spans="2:27">
      <c r="B67">
        <f t="shared" si="36"/>
        <v>13</v>
      </c>
      <c r="C67" s="2">
        <f t="shared" ref="C67:E67" si="82">C41</f>
        <v>43968</v>
      </c>
      <c r="D67" s="1">
        <f t="shared" si="82"/>
        <v>5137</v>
      </c>
      <c r="E67" s="1">
        <f t="shared" si="82"/>
        <v>432666</v>
      </c>
      <c r="F67" s="13">
        <f t="shared" si="43"/>
        <v>10</v>
      </c>
      <c r="G67" s="13">
        <f t="shared" si="44"/>
        <v>8</v>
      </c>
      <c r="H67" s="13">
        <f t="shared" si="45"/>
        <v>2</v>
      </c>
      <c r="I67" s="13">
        <f t="shared" si="46"/>
        <v>4</v>
      </c>
      <c r="K67">
        <f t="shared" si="38"/>
        <v>13</v>
      </c>
      <c r="L67" s="2">
        <f t="shared" ref="L67:N67" si="83">L39</f>
        <v>43968</v>
      </c>
      <c r="M67" s="1">
        <f t="shared" si="83"/>
        <v>432666</v>
      </c>
      <c r="N67" s="1">
        <f t="shared" si="83"/>
        <v>130743.67088605484</v>
      </c>
      <c r="O67" s="13">
        <f t="shared" si="47"/>
        <v>8</v>
      </c>
      <c r="P67" s="13">
        <f t="shared" si="48"/>
        <v>3</v>
      </c>
      <c r="Q67" s="13">
        <f t="shared" si="49"/>
        <v>5</v>
      </c>
      <c r="R67" s="13">
        <f t="shared" si="50"/>
        <v>25</v>
      </c>
      <c r="T67">
        <f t="shared" si="40"/>
        <v>13</v>
      </c>
      <c r="U67" s="2">
        <f t="shared" ref="U67:W67" si="84">U39</f>
        <v>43968</v>
      </c>
      <c r="V67" s="1">
        <f t="shared" si="84"/>
        <v>432666</v>
      </c>
      <c r="W67" s="1">
        <f t="shared" si="84"/>
        <v>275030.99433564529</v>
      </c>
      <c r="X67" s="13">
        <f t="shared" si="51"/>
        <v>8</v>
      </c>
      <c r="Y67" s="13">
        <f t="shared" si="52"/>
        <v>3</v>
      </c>
      <c r="Z67" s="13">
        <f t="shared" si="53"/>
        <v>5</v>
      </c>
      <c r="AA67" s="13">
        <f t="shared" si="54"/>
        <v>25</v>
      </c>
    </row>
    <row r="68" spans="2:27">
      <c r="B68">
        <f t="shared" si="36"/>
        <v>14</v>
      </c>
      <c r="C68" s="2">
        <f t="shared" ref="C68:E68" si="85">C42</f>
        <v>43961</v>
      </c>
      <c r="D68" s="1">
        <f t="shared" si="85"/>
        <v>6722</v>
      </c>
      <c r="E68" s="1">
        <f t="shared" si="85"/>
        <v>403875</v>
      </c>
      <c r="F68" s="13">
        <f t="shared" si="43"/>
        <v>8</v>
      </c>
      <c r="G68" s="13">
        <f t="shared" si="44"/>
        <v>11</v>
      </c>
      <c r="H68" s="13">
        <f t="shared" si="45"/>
        <v>-3</v>
      </c>
      <c r="I68" s="13">
        <f t="shared" si="46"/>
        <v>9</v>
      </c>
      <c r="K68">
        <f t="shared" si="38"/>
        <v>14</v>
      </c>
      <c r="L68" s="2">
        <f t="shared" ref="L68:N68" si="86">L40</f>
        <v>43961</v>
      </c>
      <c r="M68" s="1">
        <f t="shared" si="86"/>
        <v>403875</v>
      </c>
      <c r="N68" s="1">
        <f t="shared" si="86"/>
        <v>162965.62204055442</v>
      </c>
      <c r="O68" s="13">
        <f t="shared" si="47"/>
        <v>10</v>
      </c>
      <c r="P68" s="13">
        <f t="shared" si="48"/>
        <v>2</v>
      </c>
      <c r="Q68" s="13">
        <f t="shared" si="49"/>
        <v>8</v>
      </c>
      <c r="R68" s="13">
        <f t="shared" si="50"/>
        <v>64</v>
      </c>
      <c r="T68">
        <f t="shared" si="40"/>
        <v>14</v>
      </c>
      <c r="U68" s="2">
        <f t="shared" ref="U68:W68" si="87">U40</f>
        <v>43961</v>
      </c>
      <c r="V68" s="1">
        <f t="shared" si="87"/>
        <v>403875</v>
      </c>
      <c r="W68" s="1">
        <f t="shared" si="87"/>
        <v>434836.7173421316</v>
      </c>
      <c r="X68" s="13">
        <f t="shared" si="51"/>
        <v>10</v>
      </c>
      <c r="Y68" s="13">
        <f t="shared" si="52"/>
        <v>2</v>
      </c>
      <c r="Z68" s="13">
        <f t="shared" si="53"/>
        <v>8</v>
      </c>
      <c r="AA68" s="13">
        <f t="shared" si="54"/>
        <v>64</v>
      </c>
    </row>
    <row r="69" spans="2:27">
      <c r="B69">
        <f t="shared" si="36"/>
        <v>15</v>
      </c>
      <c r="C69" s="2">
        <f t="shared" ref="C69:E69" si="88">C43</f>
        <v>43954</v>
      </c>
      <c r="D69" s="1">
        <f t="shared" si="88"/>
        <v>8321</v>
      </c>
      <c r="E69" s="1">
        <f t="shared" si="88"/>
        <v>326788</v>
      </c>
      <c r="F69" s="13">
        <f t="shared" si="43"/>
        <v>7</v>
      </c>
      <c r="G69" s="13">
        <f t="shared" si="44"/>
        <v>21</v>
      </c>
      <c r="H69" s="13">
        <f t="shared" si="45"/>
        <v>-14</v>
      </c>
      <c r="I69" s="13">
        <f t="shared" si="46"/>
        <v>196</v>
      </c>
      <c r="K69">
        <f t="shared" si="38"/>
        <v>15</v>
      </c>
      <c r="L69" s="2">
        <f t="shared" ref="L69:N69" si="89">L41</f>
        <v>43954</v>
      </c>
      <c r="M69" s="1">
        <f t="shared" si="89"/>
        <v>326788</v>
      </c>
      <c r="N69" s="1">
        <f t="shared" si="89"/>
        <v>196582.15628039968</v>
      </c>
      <c r="O69" s="13">
        <f t="shared" si="47"/>
        <v>16</v>
      </c>
      <c r="P69" s="13">
        <f t="shared" si="48"/>
        <v>1</v>
      </c>
      <c r="Q69" s="13">
        <f t="shared" si="49"/>
        <v>15</v>
      </c>
      <c r="R69" s="13">
        <f t="shared" si="50"/>
        <v>225</v>
      </c>
      <c r="T69">
        <f t="shared" si="40"/>
        <v>15</v>
      </c>
      <c r="U69" s="2">
        <f t="shared" ref="U69:W69" si="90">U41</f>
        <v>43954</v>
      </c>
      <c r="V69" s="1">
        <f t="shared" si="90"/>
        <v>326788</v>
      </c>
      <c r="W69" s="1">
        <f t="shared" si="90"/>
        <v>725152.98308652942</v>
      </c>
      <c r="X69" s="13">
        <f t="shared" si="51"/>
        <v>16</v>
      </c>
      <c r="Y69" s="13">
        <f t="shared" si="52"/>
        <v>1</v>
      </c>
      <c r="Z69" s="13">
        <f t="shared" si="53"/>
        <v>15</v>
      </c>
      <c r="AA69" s="13">
        <f t="shared" si="54"/>
        <v>225</v>
      </c>
    </row>
    <row r="70" spans="2:27">
      <c r="B70">
        <f t="shared" si="36"/>
        <v>16</v>
      </c>
      <c r="C70" s="2">
        <f t="shared" ref="C70:E70" si="91">C44</f>
        <v>43947</v>
      </c>
      <c r="D70" s="1">
        <f t="shared" si="91"/>
        <v>14278</v>
      </c>
      <c r="E70" s="1">
        <f t="shared" si="91"/>
        <v>363890</v>
      </c>
      <c r="F70" s="13">
        <f t="shared" si="43"/>
        <v>5</v>
      </c>
      <c r="G70" s="13">
        <f t="shared" si="44"/>
        <v>14</v>
      </c>
      <c r="H70" s="13">
        <f t="shared" si="45"/>
        <v>-9</v>
      </c>
      <c r="I70" s="13">
        <f t="shared" si="46"/>
        <v>81</v>
      </c>
      <c r="K70">
        <f t="shared" si="38"/>
        <v>16</v>
      </c>
      <c r="L70" s="2">
        <f t="shared" ref="L70:N70" si="92">L42</f>
        <v>43947</v>
      </c>
      <c r="M70" s="1">
        <f t="shared" si="92"/>
        <v>363890</v>
      </c>
      <c r="N70" s="1">
        <f t="shared" si="92"/>
        <v>30949.821669982066</v>
      </c>
      <c r="O70" s="13">
        <f t="shared" si="47"/>
        <v>12</v>
      </c>
      <c r="P70" s="13">
        <f t="shared" si="48"/>
        <v>9</v>
      </c>
      <c r="Q70" s="13">
        <f t="shared" si="49"/>
        <v>3</v>
      </c>
      <c r="R70" s="13">
        <f t="shared" si="50"/>
        <v>9</v>
      </c>
      <c r="T70">
        <f t="shared" si="40"/>
        <v>16</v>
      </c>
      <c r="U70" s="2">
        <f t="shared" ref="U70:W70" si="93">U42</f>
        <v>43947</v>
      </c>
      <c r="V70" s="1">
        <f t="shared" si="93"/>
        <v>363890</v>
      </c>
      <c r="W70" s="1">
        <f t="shared" si="93"/>
        <v>117158.4956284174</v>
      </c>
      <c r="X70" s="13">
        <f t="shared" si="51"/>
        <v>12</v>
      </c>
      <c r="Y70" s="13">
        <f t="shared" si="52"/>
        <v>6</v>
      </c>
      <c r="Z70" s="13">
        <f t="shared" si="53"/>
        <v>6</v>
      </c>
      <c r="AA70" s="13">
        <f t="shared" si="54"/>
        <v>36</v>
      </c>
    </row>
    <row r="71" spans="2:27">
      <c r="B71">
        <f t="shared" si="36"/>
        <v>17</v>
      </c>
      <c r="C71" s="2">
        <f t="shared" ref="C71:E71" si="94">C45</f>
        <v>43940</v>
      </c>
      <c r="D71" s="1">
        <f t="shared" si="94"/>
        <v>19418</v>
      </c>
      <c r="E71" s="1">
        <f t="shared" si="94"/>
        <v>331902</v>
      </c>
      <c r="F71" s="13">
        <f t="shared" si="43"/>
        <v>4</v>
      </c>
      <c r="G71" s="13">
        <f t="shared" si="44"/>
        <v>19</v>
      </c>
      <c r="H71" s="13">
        <f t="shared" si="45"/>
        <v>-15</v>
      </c>
      <c r="I71" s="13">
        <f t="shared" si="46"/>
        <v>225</v>
      </c>
      <c r="L71" s="2"/>
      <c r="M71" s="1">
        <f>SUM(M55:M70)/K70</f>
        <v>452807.6875</v>
      </c>
      <c r="N71" s="1">
        <f>SUM(N55:N70)/K70</f>
        <v>62248.490643491663</v>
      </c>
      <c r="O71" s="1">
        <f>SUM(O55:O70)/K70</f>
        <v>8.5</v>
      </c>
      <c r="P71" s="1">
        <f>SUM(P55:P70)/K70</f>
        <v>8.5</v>
      </c>
      <c r="U71" s="2"/>
      <c r="V71" s="1">
        <f>SUM(V55:V70)/T70</f>
        <v>452807.6875</v>
      </c>
      <c r="W71" s="1">
        <f>SUM(W55:W70)/T70</f>
        <v>138797.23922628816</v>
      </c>
      <c r="X71" s="1">
        <f>SUM(X55:X70)/T70</f>
        <v>8.5</v>
      </c>
      <c r="Y71" s="1">
        <f>SUM(Y55:Y70)/T70</f>
        <v>8.5</v>
      </c>
    </row>
    <row r="72" spans="2:27">
      <c r="B72">
        <f t="shared" si="36"/>
        <v>18</v>
      </c>
      <c r="C72" s="2">
        <f t="shared" ref="C72:E72" si="95">C46</f>
        <v>43933</v>
      </c>
      <c r="D72" s="1">
        <f t="shared" si="95"/>
        <v>28765</v>
      </c>
      <c r="E72" s="1">
        <f t="shared" si="95"/>
        <v>380197</v>
      </c>
      <c r="F72" s="13">
        <f t="shared" si="43"/>
        <v>3</v>
      </c>
      <c r="G72" s="13">
        <f t="shared" si="44"/>
        <v>13</v>
      </c>
      <c r="H72" s="13">
        <f t="shared" si="45"/>
        <v>-10</v>
      </c>
      <c r="I72" s="13">
        <f t="shared" si="46"/>
        <v>100</v>
      </c>
      <c r="L72" s="2"/>
      <c r="M72" s="12" t="s">
        <v>26</v>
      </c>
      <c r="N72" s="13">
        <f>1-(6*R72)/(K70^3-K70)</f>
        <v>-0.81764705882352939</v>
      </c>
      <c r="Q72" t="s">
        <v>24</v>
      </c>
      <c r="R72" s="1">
        <f>SUM(R55:R70)</f>
        <v>1236</v>
      </c>
      <c r="U72" s="2"/>
      <c r="V72" s="12" t="s">
        <v>26</v>
      </c>
      <c r="W72" s="13">
        <f>1-(6*AA72)/(T70^3-T70)</f>
        <v>-0.78529411764705892</v>
      </c>
      <c r="Z72" t="s">
        <v>24</v>
      </c>
      <c r="AA72" s="1">
        <f>SUM(AA55:AA70)</f>
        <v>1214</v>
      </c>
    </row>
    <row r="73" spans="2:27">
      <c r="B73">
        <f t="shared" si="36"/>
        <v>19</v>
      </c>
      <c r="C73" s="2">
        <f t="shared" ref="C73:E73" si="96">C47</f>
        <v>43926</v>
      </c>
      <c r="D73" s="1">
        <f t="shared" si="96"/>
        <v>39167</v>
      </c>
      <c r="E73" s="1">
        <f t="shared" si="96"/>
        <v>408348</v>
      </c>
      <c r="F73" s="13">
        <f t="shared" si="43"/>
        <v>1</v>
      </c>
      <c r="G73" s="13">
        <f t="shared" si="44"/>
        <v>9</v>
      </c>
      <c r="H73" s="13">
        <f t="shared" si="45"/>
        <v>-8</v>
      </c>
      <c r="I73" s="13">
        <f t="shared" si="46"/>
        <v>64</v>
      </c>
      <c r="L73" s="2"/>
      <c r="M73" s="1"/>
      <c r="N73" s="1"/>
    </row>
    <row r="74" spans="2:27">
      <c r="B74">
        <f t="shared" si="36"/>
        <v>20</v>
      </c>
      <c r="C74" s="2">
        <f t="shared" ref="C74:E74" si="97">C48</f>
        <v>43919</v>
      </c>
      <c r="D74" s="1">
        <f t="shared" si="97"/>
        <v>33937</v>
      </c>
      <c r="E74" s="1">
        <f t="shared" si="97"/>
        <v>361515</v>
      </c>
      <c r="F74" s="13">
        <f t="shared" si="43"/>
        <v>2</v>
      </c>
      <c r="G74" s="13">
        <f t="shared" si="44"/>
        <v>15</v>
      </c>
      <c r="H74" s="13">
        <f t="shared" si="45"/>
        <v>-13</v>
      </c>
      <c r="I74" s="13">
        <f t="shared" si="46"/>
        <v>169</v>
      </c>
      <c r="L74" s="2"/>
      <c r="M74" s="1"/>
      <c r="N74" s="1"/>
    </row>
    <row r="75" spans="2:27">
      <c r="B75">
        <f t="shared" si="36"/>
        <v>21</v>
      </c>
      <c r="C75" s="2">
        <f t="shared" ref="C75:E75" si="98">C49</f>
        <v>43912</v>
      </c>
      <c r="D75" s="1">
        <f t="shared" si="98"/>
        <v>13772</v>
      </c>
      <c r="E75" s="1">
        <f t="shared" si="98"/>
        <v>348619</v>
      </c>
      <c r="F75" s="13">
        <f t="shared" si="43"/>
        <v>6</v>
      </c>
      <c r="G75" s="13">
        <f t="shared" si="44"/>
        <v>17</v>
      </c>
      <c r="H75" s="13">
        <f t="shared" si="45"/>
        <v>-11</v>
      </c>
      <c r="I75" s="13">
        <f t="shared" si="46"/>
        <v>121</v>
      </c>
    </row>
    <row r="76" spans="2:27">
      <c r="C76" s="2"/>
      <c r="D76" s="1">
        <f>SUM(D55:D75)/B75</f>
        <v>10050.142857142857</v>
      </c>
      <c r="E76" s="1">
        <f>SUM(E55:E75)/B75</f>
        <v>432166.85714285716</v>
      </c>
      <c r="F76" s="1">
        <f>SUM(F55:F75)/B75</f>
        <v>11</v>
      </c>
      <c r="G76" s="1">
        <f>SUM(G55:G75)/B75</f>
        <v>11</v>
      </c>
    </row>
    <row r="77" spans="2:27">
      <c r="C77" s="2"/>
      <c r="D77" s="12" t="s">
        <v>26</v>
      </c>
      <c r="E77" s="13">
        <f>1-(6*I77)/(B75^3-B75)</f>
        <v>-0.21818181818181825</v>
      </c>
      <c r="H77" t="s">
        <v>24</v>
      </c>
      <c r="I77" s="1">
        <f>SUM(I55:I75)</f>
        <v>1876</v>
      </c>
    </row>
    <row r="78" spans="2:27">
      <c r="C78" s="2"/>
      <c r="D78" s="1"/>
      <c r="E78" s="1"/>
    </row>
    <row r="79" spans="2:27">
      <c r="B79" t="s">
        <v>28</v>
      </c>
      <c r="C79" s="2"/>
      <c r="D79" s="1"/>
      <c r="E79" s="1"/>
    </row>
    <row r="80" spans="2:27">
      <c r="B80">
        <v>1</v>
      </c>
      <c r="C80" s="2">
        <f t="shared" ref="C80:E80" si="99">C3</f>
        <v>44234</v>
      </c>
      <c r="D80" s="1">
        <f t="shared" si="99"/>
        <v>67647</v>
      </c>
      <c r="E80" s="1">
        <f t="shared" si="99"/>
        <v>1026196</v>
      </c>
      <c r="F80" s="13">
        <f t="shared" ref="F80:F83" si="100">RANK(D80,D$80:D$105)</f>
        <v>15</v>
      </c>
      <c r="G80" s="13">
        <f t="shared" ref="G80:G83" si="101">RANK(E80,E$80:E$105)</f>
        <v>23</v>
      </c>
      <c r="H80" s="13">
        <f t="shared" ref="H80:H83" si="102">F80-G80</f>
        <v>-8</v>
      </c>
      <c r="I80" s="13">
        <f t="shared" ref="I80:I83" si="103">H80^2</f>
        <v>64</v>
      </c>
      <c r="K80">
        <f t="shared" ref="K80:K84" si="104">K79+1</f>
        <v>1</v>
      </c>
      <c r="L80" s="2">
        <f t="shared" ref="L80:N80" si="105">L3</f>
        <v>44220</v>
      </c>
      <c r="M80" s="1">
        <f t="shared" si="105"/>
        <v>1106528</v>
      </c>
      <c r="N80" s="1">
        <f t="shared" si="105"/>
        <v>159332.26779354643</v>
      </c>
      <c r="O80" s="13">
        <f t="shared" ref="O80:O83" si="106">RANK(M80,M$80:M$103)</f>
        <v>19</v>
      </c>
      <c r="P80" s="13">
        <f t="shared" ref="P80:P83" si="107">RANK(N80,N$80:N$103)</f>
        <v>3</v>
      </c>
      <c r="Q80" s="13">
        <f t="shared" ref="Q80:Q83" si="108">O80-P80</f>
        <v>16</v>
      </c>
      <c r="R80" s="13">
        <f t="shared" ref="R80:R83" si="109">Q80^2</f>
        <v>256</v>
      </c>
      <c r="T80">
        <f t="shared" ref="T80:T85" si="110">T79+1</f>
        <v>1</v>
      </c>
      <c r="U80" s="2">
        <f t="shared" ref="U80:W80" si="111">U3</f>
        <v>44220</v>
      </c>
      <c r="V80" s="1">
        <f t="shared" si="111"/>
        <v>1106528</v>
      </c>
      <c r="W80" s="1">
        <f t="shared" si="111"/>
        <v>5183615.4279225776</v>
      </c>
      <c r="X80" s="13">
        <f t="shared" ref="X80:X83" si="112">RANK(V80,V$80:V$103)</f>
        <v>19</v>
      </c>
      <c r="Y80" s="13">
        <f t="shared" ref="Y80:Y83" si="113">RANK(W80,W$80:W$103)</f>
        <v>3</v>
      </c>
      <c r="Z80" s="13">
        <f t="shared" ref="Z80:Z83" si="114">X80-Y80</f>
        <v>16</v>
      </c>
      <c r="AA80" s="13">
        <f t="shared" ref="AA80:AA83" si="115">Z80^2</f>
        <v>256</v>
      </c>
    </row>
    <row r="81" spans="2:27">
      <c r="B81">
        <f t="shared" ref="B81:B84" si="116">B80+1</f>
        <v>2</v>
      </c>
      <c r="C81" s="2">
        <f t="shared" ref="C81:E81" si="117">C4</f>
        <v>44227</v>
      </c>
      <c r="D81" s="1">
        <f t="shared" si="117"/>
        <v>81427</v>
      </c>
      <c r="E81" s="1">
        <f t="shared" si="117"/>
        <v>1137034</v>
      </c>
      <c r="F81" s="13">
        <f t="shared" si="100"/>
        <v>14</v>
      </c>
      <c r="G81" s="13">
        <f t="shared" si="101"/>
        <v>17</v>
      </c>
      <c r="H81" s="13">
        <f t="shared" si="102"/>
        <v>-3</v>
      </c>
      <c r="I81" s="13">
        <f t="shared" si="103"/>
        <v>9</v>
      </c>
      <c r="K81">
        <f t="shared" si="104"/>
        <v>2</v>
      </c>
      <c r="L81" s="2">
        <f t="shared" ref="L81:N81" si="118">L4</f>
        <v>44213</v>
      </c>
      <c r="M81" s="1">
        <f t="shared" si="118"/>
        <v>1184400</v>
      </c>
      <c r="N81" s="1">
        <f t="shared" si="118"/>
        <v>168408.81021528578</v>
      </c>
      <c r="O81" s="13">
        <f t="shared" si="106"/>
        <v>13</v>
      </c>
      <c r="P81" s="13">
        <f t="shared" si="107"/>
        <v>2</v>
      </c>
      <c r="Q81" s="13">
        <f t="shared" si="108"/>
        <v>11</v>
      </c>
      <c r="R81" s="13">
        <f t="shared" si="109"/>
        <v>121</v>
      </c>
      <c r="T81">
        <f t="shared" si="110"/>
        <v>2</v>
      </c>
      <c r="U81" s="2">
        <f t="shared" ref="U81:W81" si="119">U4</f>
        <v>44213</v>
      </c>
      <c r="V81" s="1">
        <f t="shared" si="119"/>
        <v>1184400</v>
      </c>
      <c r="W81" s="1">
        <f t="shared" si="119"/>
        <v>4972948.118273519</v>
      </c>
      <c r="X81" s="13">
        <f t="shared" si="112"/>
        <v>13</v>
      </c>
      <c r="Y81" s="13">
        <f t="shared" si="113"/>
        <v>5</v>
      </c>
      <c r="Z81" s="13">
        <f t="shared" si="114"/>
        <v>8</v>
      </c>
      <c r="AA81" s="13">
        <f t="shared" si="115"/>
        <v>64</v>
      </c>
    </row>
    <row r="82" spans="2:27">
      <c r="B82">
        <f t="shared" si="116"/>
        <v>3</v>
      </c>
      <c r="C82" s="2">
        <f t="shared" ref="C82:E82" si="120">C5</f>
        <v>44220</v>
      </c>
      <c r="D82" s="1">
        <f t="shared" si="120"/>
        <v>101418</v>
      </c>
      <c r="E82" s="1">
        <f t="shared" si="120"/>
        <v>1106528</v>
      </c>
      <c r="F82" s="13">
        <f t="shared" si="100"/>
        <v>13</v>
      </c>
      <c r="G82" s="13">
        <f t="shared" si="101"/>
        <v>20</v>
      </c>
      <c r="H82" s="13">
        <f t="shared" si="102"/>
        <v>-7</v>
      </c>
      <c r="I82" s="13">
        <f t="shared" si="103"/>
        <v>49</v>
      </c>
      <c r="K82">
        <f t="shared" si="104"/>
        <v>3</v>
      </c>
      <c r="L82" s="2">
        <f t="shared" ref="L82:N82" si="121">L5</f>
        <v>44206</v>
      </c>
      <c r="M82" s="1">
        <f t="shared" si="121"/>
        <v>1227527</v>
      </c>
      <c r="N82" s="1">
        <f t="shared" si="121"/>
        <v>189441.47458483904</v>
      </c>
      <c r="O82" s="13">
        <f t="shared" si="106"/>
        <v>11</v>
      </c>
      <c r="P82" s="13">
        <f t="shared" si="107"/>
        <v>1</v>
      </c>
      <c r="Q82" s="13">
        <f t="shared" si="108"/>
        <v>10</v>
      </c>
      <c r="R82" s="13">
        <f t="shared" si="109"/>
        <v>100</v>
      </c>
      <c r="T82">
        <f t="shared" si="110"/>
        <v>3</v>
      </c>
      <c r="U82" s="2">
        <f t="shared" ref="U82:W82" si="122">U5</f>
        <v>44206</v>
      </c>
      <c r="V82" s="1">
        <f t="shared" si="122"/>
        <v>1227527</v>
      </c>
      <c r="W82" s="1">
        <f t="shared" si="122"/>
        <v>5547177.3924776213</v>
      </c>
      <c r="X82" s="13">
        <f t="shared" si="112"/>
        <v>11</v>
      </c>
      <c r="Y82" s="13">
        <f t="shared" si="113"/>
        <v>2</v>
      </c>
      <c r="Z82" s="13">
        <f t="shared" si="114"/>
        <v>9</v>
      </c>
      <c r="AA82" s="13">
        <f t="shared" si="115"/>
        <v>81</v>
      </c>
    </row>
    <row r="83" spans="2:27">
      <c r="B83">
        <f t="shared" si="116"/>
        <v>4</v>
      </c>
      <c r="C83" s="2">
        <f t="shared" ref="C83:E83" si="123">C6</f>
        <v>44213</v>
      </c>
      <c r="D83" s="1">
        <f t="shared" si="123"/>
        <v>127991</v>
      </c>
      <c r="E83" s="1">
        <f t="shared" si="123"/>
        <v>1184400</v>
      </c>
      <c r="F83" s="13">
        <f t="shared" si="100"/>
        <v>7</v>
      </c>
      <c r="G83" s="13">
        <f t="shared" si="101"/>
        <v>13</v>
      </c>
      <c r="H83" s="13">
        <f t="shared" si="102"/>
        <v>-6</v>
      </c>
      <c r="I83" s="13">
        <f t="shared" si="103"/>
        <v>36</v>
      </c>
      <c r="K83">
        <f t="shared" si="104"/>
        <v>4</v>
      </c>
      <c r="L83" s="2">
        <f t="shared" ref="L83:N83" si="124">L6</f>
        <v>44199</v>
      </c>
      <c r="M83" s="1">
        <f t="shared" si="124"/>
        <v>844502</v>
      </c>
      <c r="N83" s="1">
        <f t="shared" si="124"/>
        <v>153220.55918069292</v>
      </c>
      <c r="O83" s="13">
        <f t="shared" si="106"/>
        <v>24</v>
      </c>
      <c r="P83" s="13">
        <f t="shared" si="107"/>
        <v>4</v>
      </c>
      <c r="Q83" s="13">
        <f t="shared" si="108"/>
        <v>20</v>
      </c>
      <c r="R83" s="13">
        <f t="shared" si="109"/>
        <v>400</v>
      </c>
      <c r="T83">
        <f t="shared" si="110"/>
        <v>4</v>
      </c>
      <c r="U83" s="2">
        <f t="shared" ref="U83:W83" si="125">U6</f>
        <v>44199</v>
      </c>
      <c r="V83" s="1">
        <f t="shared" si="125"/>
        <v>844502</v>
      </c>
      <c r="W83" s="1">
        <f t="shared" si="125"/>
        <v>6701411.3997442741</v>
      </c>
      <c r="X83" s="13">
        <f t="shared" si="112"/>
        <v>24</v>
      </c>
      <c r="Y83" s="13">
        <f t="shared" si="113"/>
        <v>1</v>
      </c>
      <c r="Z83" s="13">
        <f t="shared" si="114"/>
        <v>23</v>
      </c>
      <c r="AA83" s="13">
        <f t="shared" si="115"/>
        <v>529</v>
      </c>
    </row>
    <row r="84" spans="2:27">
      <c r="B84">
        <f t="shared" si="116"/>
        <v>5</v>
      </c>
      <c r="C84" s="2">
        <f t="shared" ref="C84:E84" si="126">C7</f>
        <v>44206</v>
      </c>
      <c r="D84" s="1">
        <f t="shared" si="126"/>
        <v>139861</v>
      </c>
      <c r="E84" s="1">
        <f t="shared" si="126"/>
        <v>1227527</v>
      </c>
      <c r="F84" s="13">
        <f>RANK(D84,D$80:D$105)</f>
        <v>4</v>
      </c>
      <c r="G84" s="13">
        <f>RANK(E84,E$80:E$105)</f>
        <v>11</v>
      </c>
      <c r="H84" s="13">
        <f t="shared" ref="H84:H97" si="127">F84-G84</f>
        <v>-7</v>
      </c>
      <c r="I84" s="13">
        <f t="shared" ref="I84:I97" si="128">H84^2</f>
        <v>49</v>
      </c>
      <c r="K84">
        <f t="shared" si="104"/>
        <v>5</v>
      </c>
      <c r="L84" s="2">
        <f t="shared" ref="L84:N84" si="129">L7</f>
        <v>44192</v>
      </c>
      <c r="M84" s="1">
        <f t="shared" si="129"/>
        <v>1091482</v>
      </c>
      <c r="N84" s="1">
        <f t="shared" si="129"/>
        <v>114720.11801303383</v>
      </c>
      <c r="O84" s="13">
        <f>RANK(M84,M$80:M$103)</f>
        <v>20</v>
      </c>
      <c r="P84" s="13">
        <f>RANK(N84,N$80:N$103)</f>
        <v>5</v>
      </c>
      <c r="Q84" s="13">
        <f t="shared" ref="Q80:Q84" si="130">O84-P84</f>
        <v>15</v>
      </c>
      <c r="R84" s="13">
        <f t="shared" ref="R80:R84" si="131">Q84^2</f>
        <v>225</v>
      </c>
      <c r="T84">
        <f t="shared" si="110"/>
        <v>5</v>
      </c>
      <c r="U84" s="2">
        <f t="shared" ref="U84:W84" si="132">U7</f>
        <v>44192</v>
      </c>
      <c r="V84" s="1">
        <f t="shared" si="132"/>
        <v>1091482</v>
      </c>
      <c r="W84" s="1">
        <f t="shared" si="132"/>
        <v>5056715.2986251395</v>
      </c>
      <c r="X84" s="13">
        <f>RANK(V84,V$80:V$103)</f>
        <v>20</v>
      </c>
      <c r="Y84" s="13">
        <f>RANK(W84,W$80:W$103)</f>
        <v>4</v>
      </c>
      <c r="Z84" s="13">
        <f t="shared" ref="Z80:Z97" si="133">X84-Y84</f>
        <v>16</v>
      </c>
      <c r="AA84" s="13">
        <f t="shared" ref="AA80:AA97" si="134">Z84^2</f>
        <v>256</v>
      </c>
    </row>
    <row r="85" spans="2:27">
      <c r="B85">
        <f t="shared" ref="B85:B105" si="135">B84+1</f>
        <v>6</v>
      </c>
      <c r="C85" s="2">
        <f t="shared" ref="C85:E85" si="136">C8</f>
        <v>44199</v>
      </c>
      <c r="D85" s="1">
        <f t="shared" si="136"/>
        <v>124808</v>
      </c>
      <c r="E85" s="1">
        <f t="shared" si="136"/>
        <v>844502</v>
      </c>
      <c r="F85" s="13">
        <f>RANK(D85,D$80:D$105)</f>
        <v>10</v>
      </c>
      <c r="G85" s="13">
        <f>RANK(E85,E$80:E$105)</f>
        <v>26</v>
      </c>
      <c r="H85" s="13">
        <f t="shared" si="127"/>
        <v>-16</v>
      </c>
      <c r="I85" s="13">
        <f t="shared" si="128"/>
        <v>256</v>
      </c>
      <c r="K85">
        <f t="shared" ref="K85:K103" si="137">K84+1</f>
        <v>6</v>
      </c>
      <c r="L85" s="2">
        <f t="shared" ref="L85:N85" si="138">L8</f>
        <v>44185</v>
      </c>
      <c r="M85" s="1">
        <f t="shared" si="138"/>
        <v>1672033</v>
      </c>
      <c r="N85" s="1">
        <f t="shared" si="138"/>
        <v>108518.35918355706</v>
      </c>
      <c r="O85" s="13">
        <f>RANK(M85,M$80:M$103)</f>
        <v>1</v>
      </c>
      <c r="P85" s="13">
        <f>RANK(N85,N$80:N$103)</f>
        <v>6</v>
      </c>
      <c r="Q85" s="13">
        <f t="shared" ref="Q85:Q97" si="139">O85-P85</f>
        <v>-5</v>
      </c>
      <c r="R85" s="13">
        <f t="shared" ref="R85:R97" si="140">Q85^2</f>
        <v>25</v>
      </c>
      <c r="T85">
        <f t="shared" si="110"/>
        <v>6</v>
      </c>
      <c r="U85" s="2">
        <f t="shared" ref="U85:W85" si="141">U8</f>
        <v>44185</v>
      </c>
      <c r="V85" s="1">
        <f t="shared" si="141"/>
        <v>1672033</v>
      </c>
      <c r="W85" s="1">
        <f t="shared" si="141"/>
        <v>4070213.9986174414</v>
      </c>
      <c r="X85" s="13">
        <f>RANK(V85,V$80:V$103)</f>
        <v>1</v>
      </c>
      <c r="Y85" s="13">
        <f>RANK(W85,W$80:W$103)</f>
        <v>7</v>
      </c>
      <c r="Z85" s="13">
        <f t="shared" si="133"/>
        <v>-6</v>
      </c>
      <c r="AA85" s="13">
        <f t="shared" si="134"/>
        <v>36</v>
      </c>
    </row>
    <row r="86" spans="2:27">
      <c r="B86">
        <f t="shared" si="135"/>
        <v>7</v>
      </c>
      <c r="C86" s="2">
        <f t="shared" ref="C86:E86" si="142">C9</f>
        <v>44192</v>
      </c>
      <c r="D86" s="1">
        <f t="shared" si="142"/>
        <v>146849</v>
      </c>
      <c r="E86" s="1">
        <f t="shared" si="142"/>
        <v>1091482</v>
      </c>
      <c r="F86" s="13">
        <f>RANK(D86,D$80:D$105)</f>
        <v>3</v>
      </c>
      <c r="G86" s="13">
        <f>RANK(E86,E$80:E$105)</f>
        <v>21</v>
      </c>
      <c r="H86" s="13">
        <f t="shared" si="127"/>
        <v>-18</v>
      </c>
      <c r="I86" s="13">
        <f t="shared" si="128"/>
        <v>324</v>
      </c>
      <c r="K86">
        <f t="shared" si="137"/>
        <v>7</v>
      </c>
      <c r="L86" s="2">
        <f t="shared" ref="L86:N86" si="143">L9</f>
        <v>44178</v>
      </c>
      <c r="M86" s="1">
        <f t="shared" si="143"/>
        <v>1516038</v>
      </c>
      <c r="N86" s="1">
        <f t="shared" si="143"/>
        <v>90760.653920373326</v>
      </c>
      <c r="O86" s="13">
        <f>RANK(M86,M$80:M$103)</f>
        <v>6</v>
      </c>
      <c r="P86" s="13">
        <f>RANK(N86,N$80:N$103)</f>
        <v>7</v>
      </c>
      <c r="Q86" s="13">
        <f t="shared" si="139"/>
        <v>-1</v>
      </c>
      <c r="R86" s="13">
        <f t="shared" si="140"/>
        <v>1</v>
      </c>
      <c r="T86">
        <f t="shared" ref="T85:T103" si="144">T85+1</f>
        <v>7</v>
      </c>
      <c r="U86" s="2">
        <f t="shared" ref="U86:W86" si="145">U9</f>
        <v>44178</v>
      </c>
      <c r="V86" s="1">
        <f t="shared" si="145"/>
        <v>1516038</v>
      </c>
      <c r="W86" s="1">
        <f t="shared" si="145"/>
        <v>4549743.0646693334</v>
      </c>
      <c r="X86" s="13">
        <f>RANK(V86,V$80:V$103)</f>
        <v>6</v>
      </c>
      <c r="Y86" s="13">
        <f>RANK(W86,W$80:W$103)</f>
        <v>6</v>
      </c>
      <c r="Z86" s="13">
        <f t="shared" si="133"/>
        <v>0</v>
      </c>
      <c r="AA86" s="13">
        <f t="shared" si="134"/>
        <v>0</v>
      </c>
    </row>
    <row r="87" spans="2:27">
      <c r="B87">
        <f t="shared" si="135"/>
        <v>8</v>
      </c>
      <c r="C87" s="2">
        <f t="shared" ref="C87:E87" si="146">C10</f>
        <v>44185</v>
      </c>
      <c r="D87" s="1">
        <f t="shared" si="146"/>
        <v>173293</v>
      </c>
      <c r="E87" s="1">
        <f t="shared" si="146"/>
        <v>1672033</v>
      </c>
      <c r="F87" s="13">
        <f>RANK(D87,D$80:D$105)</f>
        <v>1</v>
      </c>
      <c r="G87" s="13">
        <f>RANK(E87,E$80:E$105)</f>
        <v>1</v>
      </c>
      <c r="H87" s="13">
        <f t="shared" si="127"/>
        <v>0</v>
      </c>
      <c r="I87" s="13">
        <f t="shared" si="128"/>
        <v>0</v>
      </c>
      <c r="K87">
        <f t="shared" si="137"/>
        <v>8</v>
      </c>
      <c r="L87" s="2">
        <f t="shared" ref="L87:N87" si="147">L10</f>
        <v>44171</v>
      </c>
      <c r="M87" s="1">
        <f t="shared" si="147"/>
        <v>1395790</v>
      </c>
      <c r="N87" s="1">
        <f t="shared" si="147"/>
        <v>67042.526241722589</v>
      </c>
      <c r="O87" s="13">
        <f>RANK(M87,M$80:M$103)</f>
        <v>8</v>
      </c>
      <c r="P87" s="13">
        <f>RANK(N87,N$80:N$103)</f>
        <v>8</v>
      </c>
      <c r="Q87" s="13">
        <f t="shared" si="139"/>
        <v>0</v>
      </c>
      <c r="R87" s="13">
        <f t="shared" si="140"/>
        <v>0</v>
      </c>
      <c r="T87">
        <f t="shared" si="144"/>
        <v>8</v>
      </c>
      <c r="U87" s="2">
        <f t="shared" ref="U87:W87" si="148">U10</f>
        <v>44171</v>
      </c>
      <c r="V87" s="1">
        <f t="shared" si="148"/>
        <v>1395790</v>
      </c>
      <c r="W87" s="1">
        <f t="shared" si="148"/>
        <v>3423408.4080596059</v>
      </c>
      <c r="X87" s="13">
        <f>RANK(V87,V$80:V$103)</f>
        <v>8</v>
      </c>
      <c r="Y87" s="13">
        <f>RANK(W87,W$80:W$103)</f>
        <v>8</v>
      </c>
      <c r="Z87" s="13">
        <f t="shared" si="133"/>
        <v>0</v>
      </c>
      <c r="AA87" s="13">
        <f t="shared" si="134"/>
        <v>0</v>
      </c>
    </row>
    <row r="88" spans="2:27">
      <c r="B88">
        <f t="shared" si="135"/>
        <v>9</v>
      </c>
      <c r="C88" s="2">
        <f t="shared" ref="C88:E88" si="149">C11</f>
        <v>44178</v>
      </c>
      <c r="D88" s="1">
        <f t="shared" si="149"/>
        <v>149393</v>
      </c>
      <c r="E88" s="1">
        <f t="shared" si="149"/>
        <v>1516038</v>
      </c>
      <c r="F88" s="13">
        <f>RANK(D88,D$80:D$105)</f>
        <v>2</v>
      </c>
      <c r="G88" s="13">
        <f>RANK(E88,E$80:E$105)</f>
        <v>6</v>
      </c>
      <c r="H88" s="13">
        <f t="shared" si="127"/>
        <v>-4</v>
      </c>
      <c r="I88" s="13">
        <f t="shared" si="128"/>
        <v>16</v>
      </c>
      <c r="K88">
        <f t="shared" si="137"/>
        <v>9</v>
      </c>
      <c r="L88" s="2">
        <f t="shared" ref="L88:N88" si="150">L11</f>
        <v>44164</v>
      </c>
      <c r="M88" s="1">
        <f t="shared" si="150"/>
        <v>1381117</v>
      </c>
      <c r="N88" s="1">
        <f t="shared" si="150"/>
        <v>51116.187770368932</v>
      </c>
      <c r="O88" s="13">
        <f>RANK(M88,M$80:M$103)</f>
        <v>9</v>
      </c>
      <c r="P88" s="13">
        <f>RANK(N88,N$80:N$103)</f>
        <v>9</v>
      </c>
      <c r="Q88" s="13">
        <f t="shared" si="139"/>
        <v>0</v>
      </c>
      <c r="R88" s="13">
        <f t="shared" si="140"/>
        <v>0</v>
      </c>
      <c r="T88">
        <f t="shared" si="144"/>
        <v>9</v>
      </c>
      <c r="U88" s="2">
        <f t="shared" ref="U88:W88" si="151">U11</f>
        <v>44164</v>
      </c>
      <c r="V88" s="1">
        <f t="shared" si="151"/>
        <v>1381117</v>
      </c>
      <c r="W88" s="1">
        <f t="shared" si="151"/>
        <v>2526851.6277571805</v>
      </c>
      <c r="X88" s="13">
        <f>RANK(V88,V$80:V$103)</f>
        <v>9</v>
      </c>
      <c r="Y88" s="13">
        <f>RANK(W88,W$80:W$103)</f>
        <v>9</v>
      </c>
      <c r="Z88" s="13">
        <f t="shared" si="133"/>
        <v>0</v>
      </c>
      <c r="AA88" s="13">
        <f t="shared" si="134"/>
        <v>0</v>
      </c>
    </row>
    <row r="89" spans="2:27">
      <c r="B89">
        <f t="shared" si="135"/>
        <v>10</v>
      </c>
      <c r="C89" s="2">
        <f t="shared" ref="C89:E89" si="152">C12</f>
        <v>44171</v>
      </c>
      <c r="D89" s="1">
        <f t="shared" si="152"/>
        <v>128623</v>
      </c>
      <c r="E89" s="1">
        <f t="shared" si="152"/>
        <v>1395790</v>
      </c>
      <c r="F89" s="13">
        <f>RANK(D89,D$80:D$105)</f>
        <v>6</v>
      </c>
      <c r="G89" s="13">
        <f>RANK(E89,E$80:E$105)</f>
        <v>8</v>
      </c>
      <c r="H89" s="13">
        <f t="shared" si="127"/>
        <v>-2</v>
      </c>
      <c r="I89" s="13">
        <f t="shared" si="128"/>
        <v>4</v>
      </c>
      <c r="K89">
        <f t="shared" si="137"/>
        <v>10</v>
      </c>
      <c r="L89" s="2">
        <f t="shared" ref="L89:N89" si="153">L12</f>
        <v>44157</v>
      </c>
      <c r="M89" s="1">
        <f t="shared" si="153"/>
        <v>1581738</v>
      </c>
      <c r="N89" s="1">
        <f t="shared" si="153"/>
        <v>45917.404662375651</v>
      </c>
      <c r="O89" s="13">
        <f>RANK(M89,M$80:M$103)</f>
        <v>4</v>
      </c>
      <c r="P89" s="13">
        <f>RANK(N89,N$80:N$103)</f>
        <v>11</v>
      </c>
      <c r="Q89" s="13">
        <f t="shared" si="139"/>
        <v>-7</v>
      </c>
      <c r="R89" s="13">
        <f t="shared" si="140"/>
        <v>49</v>
      </c>
      <c r="T89">
        <f t="shared" si="144"/>
        <v>10</v>
      </c>
      <c r="U89" s="2">
        <f t="shared" ref="U89:W89" si="154">U12</f>
        <v>44157</v>
      </c>
      <c r="V89" s="1">
        <f t="shared" si="154"/>
        <v>1581738</v>
      </c>
      <c r="W89" s="1">
        <f t="shared" si="154"/>
        <v>2010929.6673711948</v>
      </c>
      <c r="X89" s="13">
        <f>RANK(V89,V$80:V$103)</f>
        <v>4</v>
      </c>
      <c r="Y89" s="13">
        <f>RANK(W89,W$80:W$103)</f>
        <v>10</v>
      </c>
      <c r="Z89" s="13">
        <f t="shared" si="133"/>
        <v>-6</v>
      </c>
      <c r="AA89" s="13">
        <f t="shared" si="134"/>
        <v>36</v>
      </c>
    </row>
    <row r="90" spans="2:27">
      <c r="B90">
        <f t="shared" si="135"/>
        <v>11</v>
      </c>
      <c r="C90" s="2">
        <f t="shared" ref="C90:E90" si="155">C13</f>
        <v>44164</v>
      </c>
      <c r="D90" s="1">
        <f t="shared" si="155"/>
        <v>124431</v>
      </c>
      <c r="E90" s="1">
        <f t="shared" si="155"/>
        <v>1381117</v>
      </c>
      <c r="F90" s="13">
        <f>RANK(D90,D$80:D$105)</f>
        <v>11</v>
      </c>
      <c r="G90" s="13">
        <f>RANK(E90,E$80:E$105)</f>
        <v>9</v>
      </c>
      <c r="H90" s="13">
        <f t="shared" si="127"/>
        <v>2</v>
      </c>
      <c r="I90" s="13">
        <f t="shared" si="128"/>
        <v>4</v>
      </c>
      <c r="K90">
        <f t="shared" si="137"/>
        <v>11</v>
      </c>
      <c r="L90" s="2">
        <f t="shared" ref="L90:N90" si="156">L13</f>
        <v>44150</v>
      </c>
      <c r="M90" s="1">
        <f t="shared" si="156"/>
        <v>1596087</v>
      </c>
      <c r="N90" s="1">
        <f t="shared" si="156"/>
        <v>47513.709745571025</v>
      </c>
      <c r="O90" s="13">
        <f>RANK(M90,M$80:M$103)</f>
        <v>2</v>
      </c>
      <c r="P90" s="13">
        <f>RANK(N90,N$80:N$103)</f>
        <v>10</v>
      </c>
      <c r="Q90" s="13">
        <f t="shared" si="139"/>
        <v>-8</v>
      </c>
      <c r="R90" s="13">
        <f t="shared" si="140"/>
        <v>64</v>
      </c>
      <c r="T90">
        <f t="shared" si="144"/>
        <v>11</v>
      </c>
      <c r="U90" s="2">
        <f t="shared" ref="U90:W90" si="157">U13</f>
        <v>44150</v>
      </c>
      <c r="V90" s="1">
        <f t="shared" si="157"/>
        <v>1596087</v>
      </c>
      <c r="W90" s="1">
        <f t="shared" si="157"/>
        <v>1293838.1570564124</v>
      </c>
      <c r="X90" s="13">
        <f>RANK(V90,V$80:V$103)</f>
        <v>2</v>
      </c>
      <c r="Y90" s="13">
        <f>RANK(W90,W$80:W$103)</f>
        <v>11</v>
      </c>
      <c r="Z90" s="13">
        <f t="shared" si="133"/>
        <v>-9</v>
      </c>
      <c r="AA90" s="13">
        <f t="shared" si="134"/>
        <v>81</v>
      </c>
    </row>
    <row r="91" spans="2:27">
      <c r="B91">
        <f t="shared" si="135"/>
        <v>12</v>
      </c>
      <c r="C91" s="2">
        <f t="shared" ref="C91:E91" si="158">C14</f>
        <v>44157</v>
      </c>
      <c r="D91" s="1">
        <f t="shared" si="158"/>
        <v>127766</v>
      </c>
      <c r="E91" s="1">
        <f t="shared" si="158"/>
        <v>1581738</v>
      </c>
      <c r="F91" s="13">
        <f>RANK(D91,D$80:D$105)</f>
        <v>8</v>
      </c>
      <c r="G91" s="13">
        <f>RANK(E91,E$80:E$105)</f>
        <v>4</v>
      </c>
      <c r="H91" s="13">
        <f t="shared" si="127"/>
        <v>4</v>
      </c>
      <c r="I91" s="13">
        <f t="shared" si="128"/>
        <v>16</v>
      </c>
      <c r="K91">
        <f t="shared" si="137"/>
        <v>12</v>
      </c>
      <c r="L91" s="2">
        <f t="shared" ref="L91:N91" si="159">L14</f>
        <v>44143</v>
      </c>
      <c r="M91" s="1">
        <f t="shared" si="159"/>
        <v>1540945</v>
      </c>
      <c r="N91" s="1">
        <f t="shared" si="159"/>
        <v>37582.379148941203</v>
      </c>
      <c r="O91" s="13">
        <f>RANK(M91,M$80:M$103)</f>
        <v>5</v>
      </c>
      <c r="P91" s="13">
        <f>RANK(N91,N$80:N$103)</f>
        <v>12</v>
      </c>
      <c r="Q91" s="13">
        <f t="shared" si="139"/>
        <v>-7</v>
      </c>
      <c r="R91" s="13">
        <f t="shared" si="140"/>
        <v>49</v>
      </c>
      <c r="T91">
        <f t="shared" si="144"/>
        <v>12</v>
      </c>
      <c r="U91" s="2">
        <f t="shared" ref="U91:W91" si="160">U14</f>
        <v>44143</v>
      </c>
      <c r="V91" s="1">
        <f t="shared" si="160"/>
        <v>1540945</v>
      </c>
      <c r="W91" s="1">
        <f t="shared" si="160"/>
        <v>786600.47417151555</v>
      </c>
      <c r="X91" s="13">
        <f>RANK(V91,V$80:V$103)</f>
        <v>5</v>
      </c>
      <c r="Y91" s="13">
        <f>RANK(W91,W$80:W$103)</f>
        <v>12</v>
      </c>
      <c r="Z91" s="13">
        <f t="shared" si="133"/>
        <v>-7</v>
      </c>
      <c r="AA91" s="13">
        <f t="shared" si="134"/>
        <v>49</v>
      </c>
    </row>
    <row r="92" spans="2:27">
      <c r="B92">
        <f t="shared" si="135"/>
        <v>13</v>
      </c>
      <c r="C92" s="2">
        <f t="shared" ref="C92:E92" si="161">C15</f>
        <v>44150</v>
      </c>
      <c r="D92" s="1">
        <f t="shared" si="161"/>
        <v>131998</v>
      </c>
      <c r="E92" s="1">
        <f t="shared" si="161"/>
        <v>1596087</v>
      </c>
      <c r="F92" s="13">
        <f>RANK(D92,D$80:D$105)</f>
        <v>5</v>
      </c>
      <c r="G92" s="13">
        <f>RANK(E92,E$80:E$105)</f>
        <v>2</v>
      </c>
      <c r="H92" s="13">
        <f t="shared" si="127"/>
        <v>3</v>
      </c>
      <c r="I92" s="13">
        <f t="shared" si="128"/>
        <v>9</v>
      </c>
      <c r="K92">
        <f t="shared" si="137"/>
        <v>13</v>
      </c>
      <c r="L92" s="2">
        <f t="shared" ref="L92:N92" si="162">L15</f>
        <v>44136</v>
      </c>
      <c r="M92" s="1">
        <f t="shared" si="162"/>
        <v>1593278</v>
      </c>
      <c r="N92" s="1">
        <f t="shared" si="162"/>
        <v>23019.433267119242</v>
      </c>
      <c r="O92" s="13">
        <f>RANK(M92,M$80:M$103)</f>
        <v>3</v>
      </c>
      <c r="P92" s="13">
        <f>RANK(N92,N$80:N$103)</f>
        <v>13</v>
      </c>
      <c r="Q92" s="13">
        <f t="shared" si="139"/>
        <v>-10</v>
      </c>
      <c r="R92" s="13">
        <f t="shared" si="140"/>
        <v>100</v>
      </c>
      <c r="T92">
        <f t="shared" si="144"/>
        <v>13</v>
      </c>
      <c r="U92" s="2">
        <f t="shared" ref="U92:W92" si="163">U15</f>
        <v>44136</v>
      </c>
      <c r="V92" s="1">
        <f t="shared" si="163"/>
        <v>1593278</v>
      </c>
      <c r="W92" s="1">
        <f t="shared" si="163"/>
        <v>478979.13197976263</v>
      </c>
      <c r="X92" s="13">
        <f>RANK(V92,V$80:V$103)</f>
        <v>3</v>
      </c>
      <c r="Y92" s="13">
        <f>RANK(W92,W$80:W$103)</f>
        <v>13</v>
      </c>
      <c r="Z92" s="13">
        <f t="shared" si="133"/>
        <v>-10</v>
      </c>
      <c r="AA92" s="13">
        <f t="shared" si="134"/>
        <v>100</v>
      </c>
    </row>
    <row r="93" spans="2:27">
      <c r="B93">
        <f t="shared" si="135"/>
        <v>14</v>
      </c>
      <c r="C93" s="2">
        <f t="shared" ref="C93:E93" si="164">C16</f>
        <v>44143</v>
      </c>
      <c r="D93" s="1">
        <f t="shared" si="164"/>
        <v>125575</v>
      </c>
      <c r="E93" s="1">
        <f t="shared" si="164"/>
        <v>1540945</v>
      </c>
      <c r="F93" s="13">
        <f>RANK(D93,D$80:D$105)</f>
        <v>9</v>
      </c>
      <c r="G93" s="13">
        <f>RANK(E93,E$80:E$105)</f>
        <v>5</v>
      </c>
      <c r="H93" s="13">
        <f t="shared" si="127"/>
        <v>4</v>
      </c>
      <c r="I93" s="13">
        <f t="shared" si="128"/>
        <v>16</v>
      </c>
      <c r="K93">
        <f t="shared" si="137"/>
        <v>14</v>
      </c>
      <c r="L93" s="2">
        <f t="shared" ref="L93:N93" si="165">L16</f>
        <v>44129</v>
      </c>
      <c r="M93" s="1">
        <f t="shared" si="165"/>
        <v>1425323</v>
      </c>
      <c r="N93" s="1">
        <f t="shared" si="165"/>
        <v>17441.492710450435</v>
      </c>
      <c r="O93" s="13">
        <f>RANK(M93,M$80:M$103)</f>
        <v>7</v>
      </c>
      <c r="P93" s="13">
        <f>RANK(N93,N$80:N$103)</f>
        <v>14</v>
      </c>
      <c r="Q93" s="13">
        <f t="shared" si="139"/>
        <v>-7</v>
      </c>
      <c r="R93" s="13">
        <f t="shared" si="140"/>
        <v>49</v>
      </c>
      <c r="T93">
        <f t="shared" si="144"/>
        <v>14</v>
      </c>
      <c r="U93" s="2">
        <f t="shared" ref="U93:W93" si="166">U16</f>
        <v>44129</v>
      </c>
      <c r="V93" s="1">
        <f t="shared" si="166"/>
        <v>1425323</v>
      </c>
      <c r="W93" s="1">
        <f t="shared" si="166"/>
        <v>303032.72638356418</v>
      </c>
      <c r="X93" s="13">
        <f>RANK(V93,V$80:V$103)</f>
        <v>7</v>
      </c>
      <c r="Y93" s="13">
        <f>RANK(W93,W$80:W$103)</f>
        <v>14</v>
      </c>
      <c r="Z93" s="13">
        <f t="shared" si="133"/>
        <v>-7</v>
      </c>
      <c r="AA93" s="13">
        <f t="shared" si="134"/>
        <v>49</v>
      </c>
    </row>
    <row r="94" spans="2:27">
      <c r="B94">
        <f t="shared" si="135"/>
        <v>15</v>
      </c>
      <c r="C94" s="2">
        <f t="shared" ref="C94:E94" si="167">C17</f>
        <v>44136</v>
      </c>
      <c r="D94" s="1">
        <f t="shared" si="167"/>
        <v>103749</v>
      </c>
      <c r="E94" s="1">
        <f t="shared" si="167"/>
        <v>1593278</v>
      </c>
      <c r="F94" s="13">
        <f>RANK(D94,D$80:D$105)</f>
        <v>12</v>
      </c>
      <c r="G94" s="13">
        <f>RANK(E94,E$80:E$105)</f>
        <v>3</v>
      </c>
      <c r="H94" s="13">
        <f t="shared" si="127"/>
        <v>9</v>
      </c>
      <c r="I94" s="13">
        <f t="shared" si="128"/>
        <v>81</v>
      </c>
      <c r="K94">
        <f t="shared" si="137"/>
        <v>15</v>
      </c>
      <c r="L94" s="2">
        <f t="shared" ref="L94:N94" si="168">L17</f>
        <v>44122</v>
      </c>
      <c r="M94" s="1">
        <f t="shared" si="168"/>
        <v>1263716</v>
      </c>
      <c r="N94" s="1">
        <f t="shared" si="168"/>
        <v>15807.607546581572</v>
      </c>
      <c r="O94" s="13">
        <f>RANK(M94,M$80:M$103)</f>
        <v>10</v>
      </c>
      <c r="P94" s="13">
        <f>RANK(N94,N$80:N$103)</f>
        <v>15</v>
      </c>
      <c r="Q94" s="13">
        <f t="shared" si="139"/>
        <v>-5</v>
      </c>
      <c r="R94" s="13">
        <f t="shared" si="140"/>
        <v>25</v>
      </c>
      <c r="T94">
        <f t="shared" si="144"/>
        <v>15</v>
      </c>
      <c r="U94" s="2">
        <f t="shared" ref="U94:W94" si="169">U17</f>
        <v>44122</v>
      </c>
      <c r="V94" s="1">
        <f t="shared" si="169"/>
        <v>1263716</v>
      </c>
      <c r="W94" s="1">
        <f t="shared" si="169"/>
        <v>163696.3485254556</v>
      </c>
      <c r="X94" s="13">
        <f>RANK(V94,V$80:V$103)</f>
        <v>10</v>
      </c>
      <c r="Y94" s="13">
        <f>RANK(W94,W$80:W$103)</f>
        <v>15</v>
      </c>
      <c r="Z94" s="13">
        <f t="shared" si="133"/>
        <v>-5</v>
      </c>
      <c r="AA94" s="13">
        <f t="shared" si="134"/>
        <v>25</v>
      </c>
    </row>
    <row r="95" spans="2:27">
      <c r="B95">
        <f t="shared" si="135"/>
        <v>16</v>
      </c>
      <c r="C95" s="2">
        <f t="shared" ref="C95:E95" si="170">C18</f>
        <v>44129</v>
      </c>
      <c r="D95" s="1">
        <f t="shared" si="170"/>
        <v>67207</v>
      </c>
      <c r="E95" s="1">
        <f t="shared" si="170"/>
        <v>1425323</v>
      </c>
      <c r="F95" s="13">
        <f>RANK(D95,D$80:D$105)</f>
        <v>16</v>
      </c>
      <c r="G95" s="13">
        <f>RANK(E95,E$80:E$105)</f>
        <v>7</v>
      </c>
      <c r="H95" s="13">
        <f t="shared" si="127"/>
        <v>9</v>
      </c>
      <c r="I95" s="13">
        <f t="shared" si="128"/>
        <v>81</v>
      </c>
      <c r="K95">
        <f t="shared" si="137"/>
        <v>16</v>
      </c>
      <c r="L95" s="2">
        <f t="shared" ref="L95:N95" si="171">L18</f>
        <v>44115</v>
      </c>
      <c r="M95" s="1">
        <f t="shared" si="171"/>
        <v>1188338</v>
      </c>
      <c r="N95" s="1">
        <f t="shared" si="171"/>
        <v>13673.544112801488</v>
      </c>
      <c r="O95" s="13">
        <f>RANK(M95,M$80:M$103)</f>
        <v>12</v>
      </c>
      <c r="P95" s="13">
        <f>RANK(N95,N$80:N$103)</f>
        <v>16</v>
      </c>
      <c r="Q95" s="13">
        <f t="shared" si="139"/>
        <v>-4</v>
      </c>
      <c r="R95" s="13">
        <f t="shared" si="140"/>
        <v>16</v>
      </c>
      <c r="T95">
        <f t="shared" si="144"/>
        <v>16</v>
      </c>
      <c r="U95" s="2">
        <f t="shared" ref="U95:W95" si="172">U18</f>
        <v>44115</v>
      </c>
      <c r="V95" s="1">
        <f t="shared" si="172"/>
        <v>1188338</v>
      </c>
      <c r="W95" s="1">
        <f t="shared" si="172"/>
        <v>101170.44151251877</v>
      </c>
      <c r="X95" s="13">
        <f>RANK(V95,V$80:V$103)</f>
        <v>12</v>
      </c>
      <c r="Y95" s="13">
        <f>RANK(W95,W$80:W$103)</f>
        <v>16</v>
      </c>
      <c r="Z95" s="13">
        <f t="shared" si="133"/>
        <v>-4</v>
      </c>
      <c r="AA95" s="13">
        <f t="shared" si="134"/>
        <v>16</v>
      </c>
    </row>
    <row r="96" spans="2:27">
      <c r="B96">
        <f t="shared" si="135"/>
        <v>17</v>
      </c>
      <c r="C96" s="2">
        <f t="shared" ref="C96:E96" si="173">C19</f>
        <v>44122</v>
      </c>
      <c r="D96" s="1">
        <f t="shared" si="173"/>
        <v>39110</v>
      </c>
      <c r="E96" s="1">
        <f t="shared" si="173"/>
        <v>1263716</v>
      </c>
      <c r="F96" s="13">
        <f>RANK(D96,D$80:D$105)</f>
        <v>17</v>
      </c>
      <c r="G96" s="13">
        <f>RANK(E96,E$80:E$105)</f>
        <v>10</v>
      </c>
      <c r="H96" s="13">
        <f t="shared" si="127"/>
        <v>7</v>
      </c>
      <c r="I96" s="13">
        <f t="shared" si="128"/>
        <v>49</v>
      </c>
      <c r="K96">
        <f t="shared" si="137"/>
        <v>17</v>
      </c>
      <c r="L96" s="2">
        <f t="shared" ref="L96:N96" si="174">L19</f>
        <v>44108</v>
      </c>
      <c r="M96" s="1">
        <f t="shared" si="174"/>
        <v>1112967</v>
      </c>
      <c r="N96" s="1">
        <f t="shared" si="174"/>
        <v>8187.0999287423774</v>
      </c>
      <c r="O96" s="13">
        <f>RANK(M96,M$80:M$103)</f>
        <v>18</v>
      </c>
      <c r="P96" s="13">
        <f>RANK(N96,N$80:N$103)</f>
        <v>19</v>
      </c>
      <c r="Q96" s="13">
        <f t="shared" si="139"/>
        <v>-1</v>
      </c>
      <c r="R96" s="13">
        <f t="shared" si="140"/>
        <v>1</v>
      </c>
      <c r="T96">
        <f t="shared" si="144"/>
        <v>17</v>
      </c>
      <c r="U96" s="2">
        <f t="shared" ref="U96:W96" si="175">U19</f>
        <v>44108</v>
      </c>
      <c r="V96" s="1">
        <f t="shared" si="175"/>
        <v>1112967</v>
      </c>
      <c r="W96" s="1">
        <f t="shared" si="175"/>
        <v>71754.847428748748</v>
      </c>
      <c r="X96" s="13">
        <f>RANK(V96,V$80:V$103)</f>
        <v>18</v>
      </c>
      <c r="Y96" s="13">
        <f>RANK(W96,W$80:W$103)</f>
        <v>17</v>
      </c>
      <c r="Z96" s="13">
        <f t="shared" si="133"/>
        <v>1</v>
      </c>
      <c r="AA96" s="13">
        <f t="shared" si="134"/>
        <v>1</v>
      </c>
    </row>
    <row r="97" spans="2:27">
      <c r="B97">
        <f t="shared" si="135"/>
        <v>18</v>
      </c>
      <c r="C97" s="2">
        <f t="shared" ref="C97:E97" si="176">C20</f>
        <v>44115</v>
      </c>
      <c r="D97" s="1">
        <f t="shared" si="176"/>
        <v>23627</v>
      </c>
      <c r="E97" s="1">
        <f t="shared" si="176"/>
        <v>1188338</v>
      </c>
      <c r="F97" s="13">
        <f>RANK(D97,D$80:D$105)</f>
        <v>18</v>
      </c>
      <c r="G97" s="13">
        <f>RANK(E97,E$80:E$105)</f>
        <v>12</v>
      </c>
      <c r="H97" s="13">
        <f t="shared" si="127"/>
        <v>6</v>
      </c>
      <c r="I97" s="13">
        <f t="shared" si="128"/>
        <v>36</v>
      </c>
      <c r="K97">
        <f t="shared" si="137"/>
        <v>18</v>
      </c>
      <c r="L97" s="2">
        <f t="shared" ref="L97:N97" si="177">L20</f>
        <v>44101</v>
      </c>
      <c r="M97" s="1">
        <f t="shared" si="177"/>
        <v>1155995</v>
      </c>
      <c r="N97" s="1">
        <f t="shared" si="177"/>
        <v>3919.0464027872144</v>
      </c>
      <c r="O97" s="13">
        <f>RANK(M97,M$80:M$103)</f>
        <v>15</v>
      </c>
      <c r="P97" s="13">
        <f>RANK(N97,N$80:N$103)</f>
        <v>23</v>
      </c>
      <c r="Q97" s="13">
        <f t="shared" si="139"/>
        <v>-8</v>
      </c>
      <c r="R97" s="13">
        <f t="shared" si="140"/>
        <v>64</v>
      </c>
      <c r="T97">
        <f t="shared" si="144"/>
        <v>18</v>
      </c>
      <c r="U97" s="2">
        <f t="shared" ref="U97:W97" si="178">U20</f>
        <v>44101</v>
      </c>
      <c r="V97" s="1">
        <f t="shared" si="178"/>
        <v>1155995</v>
      </c>
      <c r="W97" s="1">
        <f t="shared" si="178"/>
        <v>33726.604729578437</v>
      </c>
      <c r="X97" s="13">
        <f>RANK(V97,V$80:V$103)</f>
        <v>15</v>
      </c>
      <c r="Y97" s="13">
        <f>RANK(W97,W$80:W$103)</f>
        <v>18</v>
      </c>
      <c r="Z97" s="13">
        <f t="shared" si="133"/>
        <v>-3</v>
      </c>
      <c r="AA97" s="13">
        <f t="shared" si="134"/>
        <v>9</v>
      </c>
    </row>
    <row r="98" spans="2:27">
      <c r="B98">
        <f t="shared" si="135"/>
        <v>19</v>
      </c>
      <c r="C98" s="2">
        <f t="shared" ref="C98:E98" si="179">C21</f>
        <v>44108</v>
      </c>
      <c r="D98" s="1">
        <f t="shared" si="179"/>
        <v>15097</v>
      </c>
      <c r="E98" s="1">
        <f t="shared" si="179"/>
        <v>1112967</v>
      </c>
      <c r="F98" s="13">
        <f>RANK(D98,D$80:D$105)</f>
        <v>19</v>
      </c>
      <c r="G98" s="13">
        <f>RANK(E98,E$80:E$105)</f>
        <v>19</v>
      </c>
      <c r="H98" s="13">
        <f t="shared" ref="H98:H105" si="180">F98-G98</f>
        <v>0</v>
      </c>
      <c r="I98" s="13">
        <f t="shared" ref="I98:I105" si="181">H98^2</f>
        <v>0</v>
      </c>
      <c r="K98">
        <f t="shared" si="137"/>
        <v>19</v>
      </c>
      <c r="L98" s="2">
        <f t="shared" ref="L98:N98" si="182">L21</f>
        <v>44094</v>
      </c>
      <c r="M98" s="1">
        <f t="shared" si="182"/>
        <v>1146565</v>
      </c>
      <c r="N98" s="1">
        <f t="shared" si="182"/>
        <v>3441.0412142190071</v>
      </c>
      <c r="O98" s="13">
        <f>RANK(M98,M$80:M$103)</f>
        <v>16</v>
      </c>
      <c r="P98" s="13">
        <f>RANK(N98,N$80:N$103)</f>
        <v>24</v>
      </c>
      <c r="Q98" s="13">
        <f t="shared" ref="Q98:Q103" si="183">O98-P98</f>
        <v>-8</v>
      </c>
      <c r="R98" s="13">
        <f t="shared" ref="R98:R103" si="184">Q98^2</f>
        <v>64</v>
      </c>
      <c r="T98">
        <f t="shared" si="144"/>
        <v>19</v>
      </c>
      <c r="U98" s="2">
        <f t="shared" ref="U98:W98" si="185">U21</f>
        <v>44094</v>
      </c>
      <c r="V98" s="1">
        <f t="shared" si="185"/>
        <v>1146565</v>
      </c>
      <c r="W98" s="1">
        <f t="shared" si="185"/>
        <v>30042.898381936171</v>
      </c>
      <c r="X98" s="13">
        <f>RANK(V98,V$80:V$103)</f>
        <v>16</v>
      </c>
      <c r="Y98" s="13">
        <f>RANK(W98,W$80:W$103)</f>
        <v>19</v>
      </c>
      <c r="Z98" s="13">
        <f t="shared" ref="Z98:Z103" si="186">X98-Y98</f>
        <v>-3</v>
      </c>
      <c r="AA98" s="13">
        <f t="shared" ref="AA98:AA103" si="187">Z98^2</f>
        <v>9</v>
      </c>
    </row>
    <row r="99" spans="2:27">
      <c r="B99">
        <f t="shared" si="135"/>
        <v>20</v>
      </c>
      <c r="C99" s="2">
        <f t="shared" ref="C99:E99" si="188">C22</f>
        <v>44101</v>
      </c>
      <c r="D99" s="1">
        <f t="shared" si="188"/>
        <v>12725</v>
      </c>
      <c r="E99" s="1">
        <f t="shared" si="188"/>
        <v>1155995</v>
      </c>
      <c r="F99" s="13">
        <f>RANK(D99,D$80:D$105)</f>
        <v>20</v>
      </c>
      <c r="G99" s="13">
        <f>RANK(E99,E$80:E$105)</f>
        <v>15</v>
      </c>
      <c r="H99" s="13">
        <f t="shared" si="180"/>
        <v>5</v>
      </c>
      <c r="I99" s="13">
        <f t="shared" si="181"/>
        <v>25</v>
      </c>
      <c r="K99">
        <f t="shared" si="137"/>
        <v>20</v>
      </c>
      <c r="L99" s="2">
        <f t="shared" ref="L99:N99" si="189">L22</f>
        <v>44087</v>
      </c>
      <c r="M99" s="1">
        <f t="shared" si="189"/>
        <v>1164932</v>
      </c>
      <c r="N99" s="1">
        <f t="shared" si="189"/>
        <v>4371.5515395618331</v>
      </c>
      <c r="O99" s="13">
        <f>RANK(M99,M$80:M$103)</f>
        <v>14</v>
      </c>
      <c r="P99" s="13">
        <f>RANK(N99,N$80:N$103)</f>
        <v>22</v>
      </c>
      <c r="Q99" s="13">
        <f t="shared" si="183"/>
        <v>-8</v>
      </c>
      <c r="R99" s="13">
        <f t="shared" si="184"/>
        <v>64</v>
      </c>
      <c r="T99">
        <f t="shared" si="144"/>
        <v>20</v>
      </c>
      <c r="U99" s="2">
        <f t="shared" ref="U99:W99" si="190">U22</f>
        <v>44087</v>
      </c>
      <c r="V99" s="1">
        <f t="shared" si="190"/>
        <v>1164932</v>
      </c>
      <c r="W99" s="1">
        <f t="shared" si="190"/>
        <v>25258.698270033219</v>
      </c>
      <c r="X99" s="13">
        <f>RANK(V99,V$80:V$103)</f>
        <v>14</v>
      </c>
      <c r="Y99" s="13">
        <f>RANK(W99,W$80:W$103)</f>
        <v>20</v>
      </c>
      <c r="Z99" s="13">
        <f t="shared" si="186"/>
        <v>-6</v>
      </c>
      <c r="AA99" s="13">
        <f t="shared" si="187"/>
        <v>36</v>
      </c>
    </row>
    <row r="100" spans="2:27">
      <c r="B100">
        <f t="shared" si="135"/>
        <v>21</v>
      </c>
      <c r="C100" s="2">
        <f t="shared" ref="C100:E100" si="191">C23</f>
        <v>44094</v>
      </c>
      <c r="D100" s="1">
        <f t="shared" si="191"/>
        <v>11987</v>
      </c>
      <c r="E100" s="1">
        <f t="shared" si="191"/>
        <v>1146565</v>
      </c>
      <c r="F100" s="13">
        <f>RANK(D100,D$80:D$105)</f>
        <v>21</v>
      </c>
      <c r="G100" s="13">
        <f>RANK(E100,E$80:E$105)</f>
        <v>16</v>
      </c>
      <c r="H100" s="13">
        <f t="shared" si="180"/>
        <v>5</v>
      </c>
      <c r="I100" s="13">
        <f t="shared" si="181"/>
        <v>25</v>
      </c>
      <c r="K100">
        <f t="shared" si="137"/>
        <v>21</v>
      </c>
      <c r="L100" s="2">
        <f t="shared" ref="L100:N100" si="192">L23</f>
        <v>44080</v>
      </c>
      <c r="M100" s="1">
        <f t="shared" si="192"/>
        <v>1072316</v>
      </c>
      <c r="N100" s="1">
        <f t="shared" si="192"/>
        <v>4944.6751814431836</v>
      </c>
      <c r="O100" s="13">
        <f>RANK(M100,M$80:M$103)</f>
        <v>21</v>
      </c>
      <c r="P100" s="13">
        <f>RANK(N100,N$80:N$103)</f>
        <v>21</v>
      </c>
      <c r="Q100" s="13">
        <f t="shared" si="183"/>
        <v>0</v>
      </c>
      <c r="R100" s="13">
        <f t="shared" si="184"/>
        <v>0</v>
      </c>
      <c r="T100">
        <f t="shared" si="144"/>
        <v>21</v>
      </c>
      <c r="U100" s="2">
        <f t="shared" ref="U100:W100" si="193">U23</f>
        <v>44080</v>
      </c>
      <c r="V100" s="1">
        <f t="shared" si="193"/>
        <v>1072316</v>
      </c>
      <c r="W100" s="1">
        <f t="shared" si="193"/>
        <v>9878.9315613624622</v>
      </c>
      <c r="X100" s="13">
        <f>RANK(V100,V$80:V$103)</f>
        <v>21</v>
      </c>
      <c r="Y100" s="13">
        <f>RANK(W100,W$80:W$103)</f>
        <v>21</v>
      </c>
      <c r="Z100" s="13">
        <f t="shared" si="186"/>
        <v>0</v>
      </c>
      <c r="AA100" s="13">
        <f t="shared" si="187"/>
        <v>0</v>
      </c>
    </row>
    <row r="101" spans="2:27">
      <c r="B101">
        <f t="shared" si="135"/>
        <v>22</v>
      </c>
      <c r="C101" s="2">
        <f t="shared" ref="C101:E101" si="194">C24</f>
        <v>44087</v>
      </c>
      <c r="D101" s="1">
        <f t="shared" si="194"/>
        <v>9443</v>
      </c>
      <c r="E101" s="1">
        <f t="shared" si="194"/>
        <v>1164932</v>
      </c>
      <c r="F101" s="13">
        <f>RANK(D101,D$80:D$105)</f>
        <v>22</v>
      </c>
      <c r="G101" s="13">
        <f>RANK(E101,E$80:E$105)</f>
        <v>14</v>
      </c>
      <c r="H101" s="13">
        <f t="shared" si="180"/>
        <v>8</v>
      </c>
      <c r="I101" s="13">
        <f t="shared" si="181"/>
        <v>64</v>
      </c>
      <c r="K101">
        <f t="shared" si="137"/>
        <v>22</v>
      </c>
      <c r="L101" s="2">
        <f t="shared" ref="L101:N101" si="195">L24</f>
        <v>44073</v>
      </c>
      <c r="M101" s="1">
        <f t="shared" si="195"/>
        <v>1120883</v>
      </c>
      <c r="N101" s="1">
        <f t="shared" si="195"/>
        <v>5866.7301402713829</v>
      </c>
      <c r="O101" s="13">
        <f>RANK(M101,M$80:M$103)</f>
        <v>17</v>
      </c>
      <c r="P101" s="13">
        <f>RANK(N101,N$80:N$103)</f>
        <v>20</v>
      </c>
      <c r="Q101" s="13">
        <f t="shared" si="183"/>
        <v>-3</v>
      </c>
      <c r="R101" s="13">
        <f t="shared" si="184"/>
        <v>9</v>
      </c>
      <c r="T101">
        <f t="shared" si="144"/>
        <v>22</v>
      </c>
      <c r="U101" s="2">
        <f t="shared" ref="U101:W101" si="196">U24</f>
        <v>44073</v>
      </c>
      <c r="V101" s="1">
        <f t="shared" si="196"/>
        <v>1120883</v>
      </c>
      <c r="W101" s="1">
        <f t="shared" si="196"/>
        <v>-360.562215932605</v>
      </c>
      <c r="X101" s="13">
        <f>RANK(V101,V$80:V$103)</f>
        <v>17</v>
      </c>
      <c r="Y101" s="13">
        <f>RANK(W101,W$80:W$103)</f>
        <v>24</v>
      </c>
      <c r="Z101" s="13">
        <f t="shared" si="186"/>
        <v>-7</v>
      </c>
      <c r="AA101" s="13">
        <f t="shared" si="187"/>
        <v>49</v>
      </c>
    </row>
    <row r="102" spans="2:27">
      <c r="B102">
        <f t="shared" si="135"/>
        <v>23</v>
      </c>
      <c r="C102" s="2">
        <f t="shared" ref="C102:E102" si="197">C25</f>
        <v>44080</v>
      </c>
      <c r="D102" s="1">
        <f t="shared" si="197"/>
        <v>8214</v>
      </c>
      <c r="E102" s="1">
        <f t="shared" si="197"/>
        <v>1072316</v>
      </c>
      <c r="F102" s="13">
        <f>RANK(D102,D$80:D$105)</f>
        <v>25</v>
      </c>
      <c r="G102" s="13">
        <f>RANK(E102,E$80:E$105)</f>
        <v>22</v>
      </c>
      <c r="H102" s="13">
        <f t="shared" si="180"/>
        <v>3</v>
      </c>
      <c r="I102" s="13">
        <f t="shared" si="181"/>
        <v>9</v>
      </c>
      <c r="K102">
        <f t="shared" si="137"/>
        <v>23</v>
      </c>
      <c r="L102" s="2">
        <f t="shared" ref="L102:N102" si="198">L25</f>
        <v>44066</v>
      </c>
      <c r="M102" s="1">
        <f t="shared" si="198"/>
        <v>1008104</v>
      </c>
      <c r="N102" s="1">
        <f t="shared" si="198"/>
        <v>8997.9396350907355</v>
      </c>
      <c r="O102" s="13">
        <f>RANK(M102,M$80:M$103)</f>
        <v>22</v>
      </c>
      <c r="P102" s="13">
        <f>RANK(N102,N$80:N$103)</f>
        <v>18</v>
      </c>
      <c r="Q102" s="13">
        <f t="shared" si="183"/>
        <v>4</v>
      </c>
      <c r="R102" s="13">
        <f t="shared" si="184"/>
        <v>16</v>
      </c>
      <c r="T102">
        <f t="shared" si="144"/>
        <v>23</v>
      </c>
      <c r="U102" s="2">
        <f t="shared" ref="U102:W102" si="199">U25</f>
        <v>44066</v>
      </c>
      <c r="V102" s="1">
        <f t="shared" si="199"/>
        <v>1008104</v>
      </c>
      <c r="W102" s="1">
        <f t="shared" si="199"/>
        <v>4635.0794861453151</v>
      </c>
      <c r="X102" s="13">
        <f>RANK(V102,V$80:V$103)</f>
        <v>22</v>
      </c>
      <c r="Y102" s="13">
        <f>RANK(W102,W$80:W$103)</f>
        <v>23</v>
      </c>
      <c r="Z102" s="13">
        <f t="shared" si="186"/>
        <v>-1</v>
      </c>
      <c r="AA102" s="13">
        <f t="shared" si="187"/>
        <v>1</v>
      </c>
    </row>
    <row r="103" spans="2:27">
      <c r="B103">
        <f t="shared" si="135"/>
        <v>24</v>
      </c>
      <c r="C103" s="2">
        <f t="shared" ref="C103:E103" si="200">C26</f>
        <v>44073</v>
      </c>
      <c r="D103" s="1">
        <f t="shared" si="200"/>
        <v>8907</v>
      </c>
      <c r="E103" s="1">
        <f t="shared" si="200"/>
        <v>1120883</v>
      </c>
      <c r="F103" s="13">
        <f>RANK(D103,D$80:D$105)</f>
        <v>24</v>
      </c>
      <c r="G103" s="13">
        <f>RANK(E103,E$80:E$105)</f>
        <v>18</v>
      </c>
      <c r="H103" s="13">
        <f t="shared" si="180"/>
        <v>6</v>
      </c>
      <c r="I103" s="13">
        <f t="shared" si="181"/>
        <v>36</v>
      </c>
      <c r="K103">
        <f t="shared" si="137"/>
        <v>24</v>
      </c>
      <c r="L103" s="2">
        <f t="shared" ref="L103:N103" si="201">L26</f>
        <v>44059</v>
      </c>
      <c r="M103" s="1">
        <f t="shared" si="201"/>
        <v>877164</v>
      </c>
      <c r="N103" s="1">
        <f t="shared" si="201"/>
        <v>12836.214268700089</v>
      </c>
      <c r="O103" s="13">
        <f>RANK(M103,M$80:M$103)</f>
        <v>23</v>
      </c>
      <c r="P103" s="13">
        <f>RANK(N103,N$80:N$103)</f>
        <v>17</v>
      </c>
      <c r="Q103" s="13">
        <f t="shared" si="183"/>
        <v>6</v>
      </c>
      <c r="R103" s="13">
        <f t="shared" si="184"/>
        <v>36</v>
      </c>
      <c r="T103">
        <f t="shared" si="144"/>
        <v>24</v>
      </c>
      <c r="U103" s="2">
        <f t="shared" ref="U103:W103" si="202">U26</f>
        <v>44059</v>
      </c>
      <c r="V103" s="1">
        <f t="shared" si="202"/>
        <v>877164</v>
      </c>
      <c r="W103" s="1">
        <f t="shared" si="202"/>
        <v>6439.4219168791888</v>
      </c>
      <c r="X103" s="13">
        <f>RANK(V103,V$80:V$103)</f>
        <v>23</v>
      </c>
      <c r="Y103" s="13">
        <f>RANK(W103,W$80:W$103)</f>
        <v>22</v>
      </c>
      <c r="Z103" s="13">
        <f t="shared" si="186"/>
        <v>1</v>
      </c>
      <c r="AA103" s="13">
        <f t="shared" si="187"/>
        <v>1</v>
      </c>
    </row>
    <row r="104" spans="2:27">
      <c r="B104">
        <f t="shared" si="135"/>
        <v>25</v>
      </c>
      <c r="C104" s="2">
        <f t="shared" ref="C104:E104" si="203">C27</f>
        <v>44066</v>
      </c>
      <c r="D104" s="1">
        <f t="shared" si="203"/>
        <v>9411</v>
      </c>
      <c r="E104" s="1">
        <f t="shared" si="203"/>
        <v>1008104</v>
      </c>
      <c r="F104" s="13">
        <f>RANK(D104,D$80:D$105)</f>
        <v>23</v>
      </c>
      <c r="G104" s="13">
        <f>RANK(E104,E$80:E$105)</f>
        <v>24</v>
      </c>
      <c r="H104" s="13">
        <f t="shared" si="180"/>
        <v>-1</v>
      </c>
      <c r="I104" s="13">
        <f t="shared" si="181"/>
        <v>1</v>
      </c>
      <c r="L104" s="2"/>
      <c r="M104" s="1">
        <f>SUM(M80:M103)/K103</f>
        <v>1261157</v>
      </c>
      <c r="N104" s="1">
        <f>SUM(N80:N103)/K103</f>
        <v>56503.36776700319</v>
      </c>
      <c r="O104" s="1">
        <f>SUM(O80:O103)/K103</f>
        <v>12.5</v>
      </c>
      <c r="P104" s="1">
        <f>SUM(P80:P103)/K103</f>
        <v>12.5</v>
      </c>
      <c r="U104" s="2"/>
      <c r="V104" s="1">
        <f>SUM(V80:V103)/T103</f>
        <v>1261157</v>
      </c>
      <c r="W104" s="1">
        <f>SUM(W80:W103)/T103</f>
        <v>1972987.8167794112</v>
      </c>
      <c r="X104" s="1">
        <f>SUM(X80:X103)/T103</f>
        <v>12.5</v>
      </c>
      <c r="Y104" s="1">
        <f>SUM(Y80:Y103)/T103</f>
        <v>12.5</v>
      </c>
    </row>
    <row r="105" spans="2:27">
      <c r="B105">
        <f t="shared" si="135"/>
        <v>26</v>
      </c>
      <c r="C105" s="2">
        <f t="shared" ref="C105:E105" si="204">C28</f>
        <v>44059</v>
      </c>
      <c r="D105" s="1">
        <f t="shared" si="204"/>
        <v>7562</v>
      </c>
      <c r="E105" s="1">
        <f t="shared" si="204"/>
        <v>877164</v>
      </c>
      <c r="F105" s="13">
        <f>RANK(D105,D$80:D$105)</f>
        <v>26</v>
      </c>
      <c r="G105" s="13">
        <f>RANK(E105,E$80:E$105)</f>
        <v>25</v>
      </c>
      <c r="H105" s="13">
        <f t="shared" si="180"/>
        <v>1</v>
      </c>
      <c r="I105" s="13">
        <f t="shared" si="181"/>
        <v>1</v>
      </c>
      <c r="M105" s="12" t="s">
        <v>26</v>
      </c>
      <c r="N105" s="13">
        <f>1-(6*R105)/(K103^3-K103)</f>
        <v>0.24608695652173918</v>
      </c>
      <c r="Q105" t="s">
        <v>24</v>
      </c>
      <c r="R105" s="1">
        <f>SUM(R80:R103)</f>
        <v>1734</v>
      </c>
      <c r="V105" s="12" t="s">
        <v>26</v>
      </c>
      <c r="W105" s="13">
        <f>1-(6*AA105)/(T103^3-T103)</f>
        <v>0.26782608695652177</v>
      </c>
      <c r="Z105" t="s">
        <v>24</v>
      </c>
      <c r="AA105" s="1">
        <f>SUM(AA80:AA103)</f>
        <v>1684</v>
      </c>
    </row>
    <row r="106" spans="2:27">
      <c r="C106" s="2"/>
      <c r="D106" s="1">
        <f>SUM(D80:D105)/B105</f>
        <v>79543.038461538468</v>
      </c>
      <c r="E106" s="1">
        <f>SUM(E80:E105)/B105</f>
        <v>1247346.076923077</v>
      </c>
      <c r="F106" s="1">
        <f>SUM(F87:F105)/B105</f>
        <v>10.961538461538462</v>
      </c>
      <c r="G106" s="1">
        <f>SUM(G87:G105)/B105</f>
        <v>8.4615384615384617</v>
      </c>
    </row>
    <row r="107" spans="2:27">
      <c r="C107" s="2"/>
      <c r="D107" s="12" t="s">
        <v>26</v>
      </c>
      <c r="E107" s="13">
        <f>1-(6*I107)/(B105^3-B105)</f>
        <v>0.83829059829059827</v>
      </c>
      <c r="H107" t="s">
        <v>24</v>
      </c>
      <c r="I107" s="1">
        <f>SUM(I87:I105)</f>
        <v>473</v>
      </c>
    </row>
    <row r="108" spans="2:27">
      <c r="C108" s="2"/>
      <c r="D108" s="1"/>
      <c r="E108" s="1"/>
    </row>
    <row r="109" spans="2:27">
      <c r="C109" s="2"/>
      <c r="D109" s="1"/>
      <c r="E109" s="1"/>
    </row>
    <row r="110" spans="2:27">
      <c r="C110" s="2"/>
      <c r="D110" s="1"/>
      <c r="E110" s="1"/>
    </row>
    <row r="111" spans="2:27">
      <c r="C111" s="2"/>
      <c r="D111" s="1"/>
      <c r="E111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Mueller</dc:creator>
  <cp:lastModifiedBy>Müller</cp:lastModifiedBy>
  <cp:revision>321</cp:revision>
  <cp:lastPrinted>2021-01-19T07:04:58Z</cp:lastPrinted>
  <dcterms:created xsi:type="dcterms:W3CDTF">2020-03-16T07:54:57Z</dcterms:created>
  <dcterms:modified xsi:type="dcterms:W3CDTF">2021-02-14T12:38:30Z</dcterms:modified>
</cp:coreProperties>
</file>